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dora" sheetId="1" state="visible" r:id="rId1"/>
    <sheet name="Amortizació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FF2B2926"/>
      <sz val="16"/>
    </font>
    <font>
      <color rgb="FF6F6A63"/>
      <sz val="10"/>
    </font>
    <font>
      <b val="1"/>
      <color rgb="FFB4552D"/>
      <sz val="11"/>
    </font>
    <font>
      <color rgb="FF2B2926"/>
      <sz val="11"/>
    </font>
    <font>
      <b val="1"/>
      <color rgb="FF2B2926"/>
      <sz val="11"/>
    </font>
    <font>
      <b val="1"/>
      <color rgb="FFB4552D"/>
      <sz val="13"/>
    </font>
    <font>
      <color rgb="FF6F6A63"/>
      <sz val="9"/>
    </font>
    <font>
      <color rgb="FFB4552D"/>
      <sz val="9"/>
    </font>
    <font>
      <b val="1"/>
      <color rgb="FF2B2926"/>
      <sz val="13"/>
    </font>
    <font>
      <b val="1"/>
      <color rgb="FF2B2926"/>
      <sz val="10"/>
    </font>
    <font>
      <color rgb="FF2B2926"/>
      <sz val="10"/>
    </font>
  </fonts>
  <fills count="3">
    <fill>
      <patternFill/>
    </fill>
    <fill>
      <patternFill patternType="gray125"/>
    </fill>
    <fill>
      <patternFill patternType="solid">
        <fgColor rgb="FFF3E6DE"/>
      </patternFill>
    </fill>
  </fills>
  <borders count="2">
    <border>
      <left/>
      <right/>
      <top/>
      <bottom/>
      <diagonal/>
    </border>
    <border>
      <left style="thin">
        <color rgb="FFE7E0D6"/>
      </left>
      <right style="thin">
        <color rgb="FFE7E0D6"/>
      </right>
      <top style="thin">
        <color rgb="FFE7E0D6"/>
      </top>
      <bottom style="thin">
        <color rgb="FFE7E0D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2" borderId="1" applyAlignment="1" pivotButton="0" quotePrefix="0" xfId="0">
      <alignment horizontal="right"/>
    </xf>
    <xf numFmtId="2" fontId="5" fillId="2" borderId="1" applyAlignment="1" pivotButton="0" quotePrefix="0" xfId="0">
      <alignment horizontal="right"/>
    </xf>
    <xf numFmtId="1" fontId="5" fillId="2" borderId="1" applyAlignment="1" pivotButton="0" quotePrefix="0" xfId="0">
      <alignment horizontal="right"/>
    </xf>
    <xf numFmtId="4" fontId="6" fillId="0" borderId="1" pivotButton="0" quotePrefix="0" xfId="0"/>
    <xf numFmtId="1" fontId="5" fillId="0" borderId="1" pivotButton="0" quotePrefix="0" xfId="0"/>
    <xf numFmtId="4" fontId="5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2" borderId="1" pivotButton="0" quotePrefix="0" xfId="0"/>
    <xf numFmtId="1" fontId="11" fillId="0" borderId="0" pivotButton="0" quotePrefix="0" xfId="0"/>
    <xf numFmtId="4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6" customWidth="1" min="3" max="3"/>
    <col width="3" customWidth="1" min="4" max="4"/>
    <col width="30" customWidth="1" min="5" max="5"/>
  </cols>
  <sheetData>
    <row r="2">
      <c r="B2" s="1" t="inlineStr">
        <is>
          <t>Calculadora de cuota de hipoteca — BrikData</t>
        </is>
      </c>
    </row>
    <row r="3">
      <c r="B3" s="2" t="inlineStr">
        <is>
          <t>Sistema francés (cuotas mensuales constantes), el habitual en España.</t>
        </is>
      </c>
    </row>
    <row r="4">
      <c r="B4" s="2" t="inlineStr">
        <is>
          <t>Cambia solo las celdas naranjas.</t>
        </is>
      </c>
    </row>
    <row r="6">
      <c r="B6" s="3" t="inlineStr">
        <is>
          <t>TUS DATOS</t>
        </is>
      </c>
    </row>
    <row r="7">
      <c r="B7" s="4" t="inlineStr">
        <is>
          <t>Capital prestado (€)</t>
        </is>
      </c>
      <c r="C7" s="5" t="n">
        <v>150000</v>
      </c>
    </row>
    <row r="8">
      <c r="B8" s="4" t="inlineStr">
        <is>
          <t>Tipo de interés anual (%)</t>
        </is>
      </c>
      <c r="C8" s="6" t="n">
        <v>3</v>
      </c>
    </row>
    <row r="9">
      <c r="B9" s="4" t="inlineStr">
        <is>
          <t>Plazo (años)</t>
        </is>
      </c>
      <c r="C9" s="7" t="n">
        <v>25</v>
      </c>
    </row>
    <row r="11">
      <c r="B11" s="3" t="inlineStr">
        <is>
          <t>RESULTADO</t>
        </is>
      </c>
    </row>
    <row r="12">
      <c r="B12" s="4" t="inlineStr">
        <is>
          <t>Cuota mensual (€)</t>
        </is>
      </c>
      <c r="C12" s="8">
        <f>C7*(C8/1200)/(1-(1+C8/1200)^(-C9*12))</f>
        <v/>
      </c>
    </row>
    <row r="13">
      <c r="B13" s="4" t="inlineStr">
        <is>
          <t>Número de cuotas</t>
        </is>
      </c>
      <c r="C13" s="9">
        <f>C9*12</f>
        <v/>
      </c>
    </row>
    <row r="14">
      <c r="B14" s="4" t="inlineStr">
        <is>
          <t>Total pagado al final (€)</t>
        </is>
      </c>
      <c r="C14" s="10">
        <f>C12*C13</f>
        <v/>
      </c>
    </row>
    <row r="15">
      <c r="B15" s="4" t="inlineStr">
        <is>
          <t>Total intereses (€)</t>
        </is>
      </c>
      <c r="C15" s="10">
        <f>C14-C7</f>
        <v/>
      </c>
    </row>
    <row r="16">
      <c r="B16" s="4" t="inlineStr">
        <is>
          <t>Intereses del primer mes (€)</t>
        </is>
      </c>
      <c r="C16" s="10">
        <f>C7*C8/1200</f>
        <v/>
      </c>
    </row>
    <row r="18">
      <c r="B18" s="3" t="inlineStr">
        <is>
          <t>Cómo se calcula</t>
        </is>
      </c>
    </row>
    <row r="19">
      <c r="B19" s="2" t="inlineStr">
        <is>
          <t>Cuota = Capital × (i/12) / (1 − (1+i/12)^(−n)),</t>
        </is>
      </c>
    </row>
    <row r="20">
      <c r="B20" s="2" t="inlineStr">
        <is>
          <t>con i = tipo anual en tanto por uno y n = número de meses.</t>
        </is>
      </c>
    </row>
    <row r="21">
      <c r="B21" s="2" t="inlineStr">
        <is>
          <t>Intereses de cada mes = capital pendiente × tipo anual / 1200</t>
        </is>
      </c>
    </row>
    <row r="22">
      <c r="B22" s="2" t="inlineStr">
        <is>
          <t>(fórmula del simulador del Banco de España).</t>
        </is>
      </c>
    </row>
    <row r="23">
      <c r="B23" s="2" t="inlineStr">
        <is>
          <t>La tabla mes a mes está en la hoja «Amortización».</t>
        </is>
      </c>
    </row>
    <row r="25">
      <c r="B25" s="11" t="inlineStr">
        <is>
          <t>Orientativo, no es asesoramiento financiero. El cálculo fiable</t>
        </is>
      </c>
    </row>
    <row r="26">
      <c r="B26" s="11" t="inlineStr">
        <is>
          <t>para tu caso: simulador oficial del Banco de España:</t>
        </is>
      </c>
    </row>
    <row r="27">
      <c r="B27" s="12" t="inlineStr">
        <is>
          <t>https://app.bde.es/asb_spa/#/es/cuota/form</t>
        </is>
      </c>
    </row>
    <row r="28">
      <c r="B28" s="11" t="inlineStr">
        <is>
          <t>De la ficha «Cómo calcular tu hipoteca» (22 de agosto de 2026):</t>
        </is>
      </c>
    </row>
    <row r="29">
      <c r="B29" s="11" t="inlineStr">
        <is>
          <t>https://brikdata.com/datos/como-calcular-tu-hipoteca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84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4" customWidth="1" min="3" max="3"/>
    <col width="16" customWidth="1" min="4" max="4"/>
    <col width="18" customWidth="1" min="5" max="5"/>
    <col width="3" customWidth="1" min="6" max="6"/>
  </cols>
  <sheetData>
    <row r="1">
      <c r="A1" s="13" t="inlineStr">
        <is>
          <t>Cuadro de amortización (sistema francés)</t>
        </is>
      </c>
    </row>
    <row r="2">
      <c r="A2" s="11" t="inlineStr">
        <is>
          <t>Se rellena solo con los datos de la hoja «Calculadora». Hasta 40 años.</t>
        </is>
      </c>
    </row>
    <row r="4">
      <c r="A4" s="14" t="inlineStr">
        <is>
          <t>Mes</t>
        </is>
      </c>
      <c r="B4" s="14" t="inlineStr">
        <is>
          <t>Cuota (€)</t>
        </is>
      </c>
      <c r="C4" s="14" t="inlineStr">
        <is>
          <t>Intereses (€)</t>
        </is>
      </c>
      <c r="D4" s="14" t="inlineStr">
        <is>
          <t>Amortización (€)</t>
        </is>
      </c>
      <c r="E4" s="14" t="inlineStr">
        <is>
          <t>Capital pendiente (€)</t>
        </is>
      </c>
    </row>
    <row r="5">
      <c r="A5" s="15">
        <f>IF(1&lt;=Calculadora!$C$9*12,1,"")</f>
        <v/>
      </c>
      <c r="B5" s="16">
        <f>IF(1&lt;=Calculadora!$C$9*12,Calculadora!$C$12,"")</f>
        <v/>
      </c>
      <c r="C5" s="16">
        <f>IF(1&lt;=Calculadora!$C$9*12,Calculadora!C7*Calculadora!$C$8/1200,"")</f>
        <v/>
      </c>
      <c r="D5" s="16">
        <f>IF(1&lt;=Calculadora!$C$9*12,B5-C5,"")</f>
        <v/>
      </c>
      <c r="E5" s="16">
        <f>IF(1&lt;=Calculadora!$C$9*12,Calculadora!C7-D5,"")</f>
        <v/>
      </c>
    </row>
    <row r="6">
      <c r="A6" s="15">
        <f>IF(2&lt;=Calculadora!$C$9*12,2,"")</f>
        <v/>
      </c>
      <c r="B6" s="16">
        <f>IF(2&lt;=Calculadora!$C$9*12,Calculadora!$C$12,"")</f>
        <v/>
      </c>
      <c r="C6" s="16">
        <f>IF(2&lt;=Calculadora!$C$9*12,E5*Calculadora!$C$8/1200,"")</f>
        <v/>
      </c>
      <c r="D6" s="16">
        <f>IF(2&lt;=Calculadora!$C$9*12,B6-C6,"")</f>
        <v/>
      </c>
      <c r="E6" s="16">
        <f>IF(2&lt;=Calculadora!$C$9*12,E5-D6,"")</f>
        <v/>
      </c>
    </row>
    <row r="7">
      <c r="A7" s="15">
        <f>IF(3&lt;=Calculadora!$C$9*12,3,"")</f>
        <v/>
      </c>
      <c r="B7" s="16">
        <f>IF(3&lt;=Calculadora!$C$9*12,Calculadora!$C$12,"")</f>
        <v/>
      </c>
      <c r="C7" s="16">
        <f>IF(3&lt;=Calculadora!$C$9*12,E6*Calculadora!$C$8/1200,"")</f>
        <v/>
      </c>
      <c r="D7" s="16">
        <f>IF(3&lt;=Calculadora!$C$9*12,B7-C7,"")</f>
        <v/>
      </c>
      <c r="E7" s="16">
        <f>IF(3&lt;=Calculadora!$C$9*12,E6-D7,"")</f>
        <v/>
      </c>
    </row>
    <row r="8">
      <c r="A8" s="15">
        <f>IF(4&lt;=Calculadora!$C$9*12,4,"")</f>
        <v/>
      </c>
      <c r="B8" s="16">
        <f>IF(4&lt;=Calculadora!$C$9*12,Calculadora!$C$12,"")</f>
        <v/>
      </c>
      <c r="C8" s="16">
        <f>IF(4&lt;=Calculadora!$C$9*12,E7*Calculadora!$C$8/1200,"")</f>
        <v/>
      </c>
      <c r="D8" s="16">
        <f>IF(4&lt;=Calculadora!$C$9*12,B8-C8,"")</f>
        <v/>
      </c>
      <c r="E8" s="16">
        <f>IF(4&lt;=Calculadora!$C$9*12,E7-D8,"")</f>
        <v/>
      </c>
    </row>
    <row r="9">
      <c r="A9" s="15">
        <f>IF(5&lt;=Calculadora!$C$9*12,5,"")</f>
        <v/>
      </c>
      <c r="B9" s="16">
        <f>IF(5&lt;=Calculadora!$C$9*12,Calculadora!$C$12,"")</f>
        <v/>
      </c>
      <c r="C9" s="16">
        <f>IF(5&lt;=Calculadora!$C$9*12,E8*Calculadora!$C$8/1200,"")</f>
        <v/>
      </c>
      <c r="D9" s="16">
        <f>IF(5&lt;=Calculadora!$C$9*12,B9-C9,"")</f>
        <v/>
      </c>
      <c r="E9" s="16">
        <f>IF(5&lt;=Calculadora!$C$9*12,E8-D9,"")</f>
        <v/>
      </c>
    </row>
    <row r="10">
      <c r="A10" s="15">
        <f>IF(6&lt;=Calculadora!$C$9*12,6,"")</f>
        <v/>
      </c>
      <c r="B10" s="16">
        <f>IF(6&lt;=Calculadora!$C$9*12,Calculadora!$C$12,"")</f>
        <v/>
      </c>
      <c r="C10" s="16">
        <f>IF(6&lt;=Calculadora!$C$9*12,E9*Calculadora!$C$8/1200,"")</f>
        <v/>
      </c>
      <c r="D10" s="16">
        <f>IF(6&lt;=Calculadora!$C$9*12,B10-C10,"")</f>
        <v/>
      </c>
      <c r="E10" s="16">
        <f>IF(6&lt;=Calculadora!$C$9*12,E9-D10,"")</f>
        <v/>
      </c>
    </row>
    <row r="11">
      <c r="A11" s="15">
        <f>IF(7&lt;=Calculadora!$C$9*12,7,"")</f>
        <v/>
      </c>
      <c r="B11" s="16">
        <f>IF(7&lt;=Calculadora!$C$9*12,Calculadora!$C$12,"")</f>
        <v/>
      </c>
      <c r="C11" s="16">
        <f>IF(7&lt;=Calculadora!$C$9*12,E10*Calculadora!$C$8/1200,"")</f>
        <v/>
      </c>
      <c r="D11" s="16">
        <f>IF(7&lt;=Calculadora!$C$9*12,B11-C11,"")</f>
        <v/>
      </c>
      <c r="E11" s="16">
        <f>IF(7&lt;=Calculadora!$C$9*12,E10-D11,"")</f>
        <v/>
      </c>
    </row>
    <row r="12">
      <c r="A12" s="15">
        <f>IF(8&lt;=Calculadora!$C$9*12,8,"")</f>
        <v/>
      </c>
      <c r="B12" s="16">
        <f>IF(8&lt;=Calculadora!$C$9*12,Calculadora!$C$12,"")</f>
        <v/>
      </c>
      <c r="C12" s="16">
        <f>IF(8&lt;=Calculadora!$C$9*12,E11*Calculadora!$C$8/1200,"")</f>
        <v/>
      </c>
      <c r="D12" s="16">
        <f>IF(8&lt;=Calculadora!$C$9*12,B12-C12,"")</f>
        <v/>
      </c>
      <c r="E12" s="16">
        <f>IF(8&lt;=Calculadora!$C$9*12,E11-D12,"")</f>
        <v/>
      </c>
    </row>
    <row r="13">
      <c r="A13" s="15">
        <f>IF(9&lt;=Calculadora!$C$9*12,9,"")</f>
        <v/>
      </c>
      <c r="B13" s="16">
        <f>IF(9&lt;=Calculadora!$C$9*12,Calculadora!$C$12,"")</f>
        <v/>
      </c>
      <c r="C13" s="16">
        <f>IF(9&lt;=Calculadora!$C$9*12,E12*Calculadora!$C$8/1200,"")</f>
        <v/>
      </c>
      <c r="D13" s="16">
        <f>IF(9&lt;=Calculadora!$C$9*12,B13-C13,"")</f>
        <v/>
      </c>
      <c r="E13" s="16">
        <f>IF(9&lt;=Calculadora!$C$9*12,E12-D13,"")</f>
        <v/>
      </c>
    </row>
    <row r="14">
      <c r="A14" s="15">
        <f>IF(10&lt;=Calculadora!$C$9*12,10,"")</f>
        <v/>
      </c>
      <c r="B14" s="16">
        <f>IF(10&lt;=Calculadora!$C$9*12,Calculadora!$C$12,"")</f>
        <v/>
      </c>
      <c r="C14" s="16">
        <f>IF(10&lt;=Calculadora!$C$9*12,E13*Calculadora!$C$8/1200,"")</f>
        <v/>
      </c>
      <c r="D14" s="16">
        <f>IF(10&lt;=Calculadora!$C$9*12,B14-C14,"")</f>
        <v/>
      </c>
      <c r="E14" s="16">
        <f>IF(10&lt;=Calculadora!$C$9*12,E13-D14,"")</f>
        <v/>
      </c>
    </row>
    <row r="15">
      <c r="A15" s="15">
        <f>IF(11&lt;=Calculadora!$C$9*12,11,"")</f>
        <v/>
      </c>
      <c r="B15" s="16">
        <f>IF(11&lt;=Calculadora!$C$9*12,Calculadora!$C$12,"")</f>
        <v/>
      </c>
      <c r="C15" s="16">
        <f>IF(11&lt;=Calculadora!$C$9*12,E14*Calculadora!$C$8/1200,"")</f>
        <v/>
      </c>
      <c r="D15" s="16">
        <f>IF(11&lt;=Calculadora!$C$9*12,B15-C15,"")</f>
        <v/>
      </c>
      <c r="E15" s="16">
        <f>IF(11&lt;=Calculadora!$C$9*12,E14-D15,"")</f>
        <v/>
      </c>
    </row>
    <row r="16">
      <c r="A16" s="15">
        <f>IF(12&lt;=Calculadora!$C$9*12,12,"")</f>
        <v/>
      </c>
      <c r="B16" s="16">
        <f>IF(12&lt;=Calculadora!$C$9*12,Calculadora!$C$12,"")</f>
        <v/>
      </c>
      <c r="C16" s="16">
        <f>IF(12&lt;=Calculadora!$C$9*12,E15*Calculadora!$C$8/1200,"")</f>
        <v/>
      </c>
      <c r="D16" s="16">
        <f>IF(12&lt;=Calculadora!$C$9*12,B16-C16,"")</f>
        <v/>
      </c>
      <c r="E16" s="16">
        <f>IF(12&lt;=Calculadora!$C$9*12,E15-D16,"")</f>
        <v/>
      </c>
    </row>
    <row r="17">
      <c r="A17" s="15">
        <f>IF(13&lt;=Calculadora!$C$9*12,13,"")</f>
        <v/>
      </c>
      <c r="B17" s="16">
        <f>IF(13&lt;=Calculadora!$C$9*12,Calculadora!$C$12,"")</f>
        <v/>
      </c>
      <c r="C17" s="16">
        <f>IF(13&lt;=Calculadora!$C$9*12,E16*Calculadora!$C$8/1200,"")</f>
        <v/>
      </c>
      <c r="D17" s="16">
        <f>IF(13&lt;=Calculadora!$C$9*12,B17-C17,"")</f>
        <v/>
      </c>
      <c r="E17" s="16">
        <f>IF(13&lt;=Calculadora!$C$9*12,E16-D17,"")</f>
        <v/>
      </c>
    </row>
    <row r="18">
      <c r="A18" s="15">
        <f>IF(14&lt;=Calculadora!$C$9*12,14,"")</f>
        <v/>
      </c>
      <c r="B18" s="16">
        <f>IF(14&lt;=Calculadora!$C$9*12,Calculadora!$C$12,"")</f>
        <v/>
      </c>
      <c r="C18" s="16">
        <f>IF(14&lt;=Calculadora!$C$9*12,E17*Calculadora!$C$8/1200,"")</f>
        <v/>
      </c>
      <c r="D18" s="16">
        <f>IF(14&lt;=Calculadora!$C$9*12,B18-C18,"")</f>
        <v/>
      </c>
      <c r="E18" s="16">
        <f>IF(14&lt;=Calculadora!$C$9*12,E17-D18,"")</f>
        <v/>
      </c>
    </row>
    <row r="19">
      <c r="A19" s="15">
        <f>IF(15&lt;=Calculadora!$C$9*12,15,"")</f>
        <v/>
      </c>
      <c r="B19" s="16">
        <f>IF(15&lt;=Calculadora!$C$9*12,Calculadora!$C$12,"")</f>
        <v/>
      </c>
      <c r="C19" s="16">
        <f>IF(15&lt;=Calculadora!$C$9*12,E18*Calculadora!$C$8/1200,"")</f>
        <v/>
      </c>
      <c r="D19" s="16">
        <f>IF(15&lt;=Calculadora!$C$9*12,B19-C19,"")</f>
        <v/>
      </c>
      <c r="E19" s="16">
        <f>IF(15&lt;=Calculadora!$C$9*12,E18-D19,"")</f>
        <v/>
      </c>
    </row>
    <row r="20">
      <c r="A20" s="15">
        <f>IF(16&lt;=Calculadora!$C$9*12,16,"")</f>
        <v/>
      </c>
      <c r="B20" s="16">
        <f>IF(16&lt;=Calculadora!$C$9*12,Calculadora!$C$12,"")</f>
        <v/>
      </c>
      <c r="C20" s="16">
        <f>IF(16&lt;=Calculadora!$C$9*12,E19*Calculadora!$C$8/1200,"")</f>
        <v/>
      </c>
      <c r="D20" s="16">
        <f>IF(16&lt;=Calculadora!$C$9*12,B20-C20,"")</f>
        <v/>
      </c>
      <c r="E20" s="16">
        <f>IF(16&lt;=Calculadora!$C$9*12,E19-D20,"")</f>
        <v/>
      </c>
    </row>
    <row r="21">
      <c r="A21" s="15">
        <f>IF(17&lt;=Calculadora!$C$9*12,17,"")</f>
        <v/>
      </c>
      <c r="B21" s="16">
        <f>IF(17&lt;=Calculadora!$C$9*12,Calculadora!$C$12,"")</f>
        <v/>
      </c>
      <c r="C21" s="16">
        <f>IF(17&lt;=Calculadora!$C$9*12,E20*Calculadora!$C$8/1200,"")</f>
        <v/>
      </c>
      <c r="D21" s="16">
        <f>IF(17&lt;=Calculadora!$C$9*12,B21-C21,"")</f>
        <v/>
      </c>
      <c r="E21" s="16">
        <f>IF(17&lt;=Calculadora!$C$9*12,E20-D21,"")</f>
        <v/>
      </c>
    </row>
    <row r="22">
      <c r="A22" s="15">
        <f>IF(18&lt;=Calculadora!$C$9*12,18,"")</f>
        <v/>
      </c>
      <c r="B22" s="16">
        <f>IF(18&lt;=Calculadora!$C$9*12,Calculadora!$C$12,"")</f>
        <v/>
      </c>
      <c r="C22" s="16">
        <f>IF(18&lt;=Calculadora!$C$9*12,E21*Calculadora!$C$8/1200,"")</f>
        <v/>
      </c>
      <c r="D22" s="16">
        <f>IF(18&lt;=Calculadora!$C$9*12,B22-C22,"")</f>
        <v/>
      </c>
      <c r="E22" s="16">
        <f>IF(18&lt;=Calculadora!$C$9*12,E21-D22,"")</f>
        <v/>
      </c>
    </row>
    <row r="23">
      <c r="A23" s="15">
        <f>IF(19&lt;=Calculadora!$C$9*12,19,"")</f>
        <v/>
      </c>
      <c r="B23" s="16">
        <f>IF(19&lt;=Calculadora!$C$9*12,Calculadora!$C$12,"")</f>
        <v/>
      </c>
      <c r="C23" s="16">
        <f>IF(19&lt;=Calculadora!$C$9*12,E22*Calculadora!$C$8/1200,"")</f>
        <v/>
      </c>
      <c r="D23" s="16">
        <f>IF(19&lt;=Calculadora!$C$9*12,B23-C23,"")</f>
        <v/>
      </c>
      <c r="E23" s="16">
        <f>IF(19&lt;=Calculadora!$C$9*12,E22-D23,"")</f>
        <v/>
      </c>
    </row>
    <row r="24">
      <c r="A24" s="15">
        <f>IF(20&lt;=Calculadora!$C$9*12,20,"")</f>
        <v/>
      </c>
      <c r="B24" s="16">
        <f>IF(20&lt;=Calculadora!$C$9*12,Calculadora!$C$12,"")</f>
        <v/>
      </c>
      <c r="C24" s="16">
        <f>IF(20&lt;=Calculadora!$C$9*12,E23*Calculadora!$C$8/1200,"")</f>
        <v/>
      </c>
      <c r="D24" s="16">
        <f>IF(20&lt;=Calculadora!$C$9*12,B24-C24,"")</f>
        <v/>
      </c>
      <c r="E24" s="16">
        <f>IF(20&lt;=Calculadora!$C$9*12,E23-D24,"")</f>
        <v/>
      </c>
    </row>
    <row r="25">
      <c r="A25" s="15">
        <f>IF(21&lt;=Calculadora!$C$9*12,21,"")</f>
        <v/>
      </c>
      <c r="B25" s="16">
        <f>IF(21&lt;=Calculadora!$C$9*12,Calculadora!$C$12,"")</f>
        <v/>
      </c>
      <c r="C25" s="16">
        <f>IF(21&lt;=Calculadora!$C$9*12,E24*Calculadora!$C$8/1200,"")</f>
        <v/>
      </c>
      <c r="D25" s="16">
        <f>IF(21&lt;=Calculadora!$C$9*12,B25-C25,"")</f>
        <v/>
      </c>
      <c r="E25" s="16">
        <f>IF(21&lt;=Calculadora!$C$9*12,E24-D25,"")</f>
        <v/>
      </c>
    </row>
    <row r="26">
      <c r="A26" s="15">
        <f>IF(22&lt;=Calculadora!$C$9*12,22,"")</f>
        <v/>
      </c>
      <c r="B26" s="16">
        <f>IF(22&lt;=Calculadora!$C$9*12,Calculadora!$C$12,"")</f>
        <v/>
      </c>
      <c r="C26" s="16">
        <f>IF(22&lt;=Calculadora!$C$9*12,E25*Calculadora!$C$8/1200,"")</f>
        <v/>
      </c>
      <c r="D26" s="16">
        <f>IF(22&lt;=Calculadora!$C$9*12,B26-C26,"")</f>
        <v/>
      </c>
      <c r="E26" s="16">
        <f>IF(22&lt;=Calculadora!$C$9*12,E25-D26,"")</f>
        <v/>
      </c>
    </row>
    <row r="27">
      <c r="A27" s="15">
        <f>IF(23&lt;=Calculadora!$C$9*12,23,"")</f>
        <v/>
      </c>
      <c r="B27" s="16">
        <f>IF(23&lt;=Calculadora!$C$9*12,Calculadora!$C$12,"")</f>
        <v/>
      </c>
      <c r="C27" s="16">
        <f>IF(23&lt;=Calculadora!$C$9*12,E26*Calculadora!$C$8/1200,"")</f>
        <v/>
      </c>
      <c r="D27" s="16">
        <f>IF(23&lt;=Calculadora!$C$9*12,B27-C27,"")</f>
        <v/>
      </c>
      <c r="E27" s="16">
        <f>IF(23&lt;=Calculadora!$C$9*12,E26-D27,"")</f>
        <v/>
      </c>
    </row>
    <row r="28">
      <c r="A28" s="15">
        <f>IF(24&lt;=Calculadora!$C$9*12,24,"")</f>
        <v/>
      </c>
      <c r="B28" s="16">
        <f>IF(24&lt;=Calculadora!$C$9*12,Calculadora!$C$12,"")</f>
        <v/>
      </c>
      <c r="C28" s="16">
        <f>IF(24&lt;=Calculadora!$C$9*12,E27*Calculadora!$C$8/1200,"")</f>
        <v/>
      </c>
      <c r="D28" s="16">
        <f>IF(24&lt;=Calculadora!$C$9*12,B28-C28,"")</f>
        <v/>
      </c>
      <c r="E28" s="16">
        <f>IF(24&lt;=Calculadora!$C$9*12,E27-D28,"")</f>
        <v/>
      </c>
    </row>
    <row r="29">
      <c r="A29" s="15">
        <f>IF(25&lt;=Calculadora!$C$9*12,25,"")</f>
        <v/>
      </c>
      <c r="B29" s="16">
        <f>IF(25&lt;=Calculadora!$C$9*12,Calculadora!$C$12,"")</f>
        <v/>
      </c>
      <c r="C29" s="16">
        <f>IF(25&lt;=Calculadora!$C$9*12,E28*Calculadora!$C$8/1200,"")</f>
        <v/>
      </c>
      <c r="D29" s="16">
        <f>IF(25&lt;=Calculadora!$C$9*12,B29-C29,"")</f>
        <v/>
      </c>
      <c r="E29" s="16">
        <f>IF(25&lt;=Calculadora!$C$9*12,E28-D29,"")</f>
        <v/>
      </c>
    </row>
    <row r="30">
      <c r="A30" s="15">
        <f>IF(26&lt;=Calculadora!$C$9*12,26,"")</f>
        <v/>
      </c>
      <c r="B30" s="16">
        <f>IF(26&lt;=Calculadora!$C$9*12,Calculadora!$C$12,"")</f>
        <v/>
      </c>
      <c r="C30" s="16">
        <f>IF(26&lt;=Calculadora!$C$9*12,E29*Calculadora!$C$8/1200,"")</f>
        <v/>
      </c>
      <c r="D30" s="16">
        <f>IF(26&lt;=Calculadora!$C$9*12,B30-C30,"")</f>
        <v/>
      </c>
      <c r="E30" s="16">
        <f>IF(26&lt;=Calculadora!$C$9*12,E29-D30,"")</f>
        <v/>
      </c>
    </row>
    <row r="31">
      <c r="A31" s="15">
        <f>IF(27&lt;=Calculadora!$C$9*12,27,"")</f>
        <v/>
      </c>
      <c r="B31" s="16">
        <f>IF(27&lt;=Calculadora!$C$9*12,Calculadora!$C$12,"")</f>
        <v/>
      </c>
      <c r="C31" s="16">
        <f>IF(27&lt;=Calculadora!$C$9*12,E30*Calculadora!$C$8/1200,"")</f>
        <v/>
      </c>
      <c r="D31" s="16">
        <f>IF(27&lt;=Calculadora!$C$9*12,B31-C31,"")</f>
        <v/>
      </c>
      <c r="E31" s="16">
        <f>IF(27&lt;=Calculadora!$C$9*12,E30-D31,"")</f>
        <v/>
      </c>
    </row>
    <row r="32">
      <c r="A32" s="15">
        <f>IF(28&lt;=Calculadora!$C$9*12,28,"")</f>
        <v/>
      </c>
      <c r="B32" s="16">
        <f>IF(28&lt;=Calculadora!$C$9*12,Calculadora!$C$12,"")</f>
        <v/>
      </c>
      <c r="C32" s="16">
        <f>IF(28&lt;=Calculadora!$C$9*12,E31*Calculadora!$C$8/1200,"")</f>
        <v/>
      </c>
      <c r="D32" s="16">
        <f>IF(28&lt;=Calculadora!$C$9*12,B32-C32,"")</f>
        <v/>
      </c>
      <c r="E32" s="16">
        <f>IF(28&lt;=Calculadora!$C$9*12,E31-D32,"")</f>
        <v/>
      </c>
    </row>
    <row r="33">
      <c r="A33" s="15">
        <f>IF(29&lt;=Calculadora!$C$9*12,29,"")</f>
        <v/>
      </c>
      <c r="B33" s="16">
        <f>IF(29&lt;=Calculadora!$C$9*12,Calculadora!$C$12,"")</f>
        <v/>
      </c>
      <c r="C33" s="16">
        <f>IF(29&lt;=Calculadora!$C$9*12,E32*Calculadora!$C$8/1200,"")</f>
        <v/>
      </c>
      <c r="D33" s="16">
        <f>IF(29&lt;=Calculadora!$C$9*12,B33-C33,"")</f>
        <v/>
      </c>
      <c r="E33" s="16">
        <f>IF(29&lt;=Calculadora!$C$9*12,E32-D33,"")</f>
        <v/>
      </c>
    </row>
    <row r="34">
      <c r="A34" s="15">
        <f>IF(30&lt;=Calculadora!$C$9*12,30,"")</f>
        <v/>
      </c>
      <c r="B34" s="16">
        <f>IF(30&lt;=Calculadora!$C$9*12,Calculadora!$C$12,"")</f>
        <v/>
      </c>
      <c r="C34" s="16">
        <f>IF(30&lt;=Calculadora!$C$9*12,E33*Calculadora!$C$8/1200,"")</f>
        <v/>
      </c>
      <c r="D34" s="16">
        <f>IF(30&lt;=Calculadora!$C$9*12,B34-C34,"")</f>
        <v/>
      </c>
      <c r="E34" s="16">
        <f>IF(30&lt;=Calculadora!$C$9*12,E33-D34,"")</f>
        <v/>
      </c>
    </row>
    <row r="35">
      <c r="A35" s="15">
        <f>IF(31&lt;=Calculadora!$C$9*12,31,"")</f>
        <v/>
      </c>
      <c r="B35" s="16">
        <f>IF(31&lt;=Calculadora!$C$9*12,Calculadora!$C$12,"")</f>
        <v/>
      </c>
      <c r="C35" s="16">
        <f>IF(31&lt;=Calculadora!$C$9*12,E34*Calculadora!$C$8/1200,"")</f>
        <v/>
      </c>
      <c r="D35" s="16">
        <f>IF(31&lt;=Calculadora!$C$9*12,B35-C35,"")</f>
        <v/>
      </c>
      <c r="E35" s="16">
        <f>IF(31&lt;=Calculadora!$C$9*12,E34-D35,"")</f>
        <v/>
      </c>
    </row>
    <row r="36">
      <c r="A36" s="15">
        <f>IF(32&lt;=Calculadora!$C$9*12,32,"")</f>
        <v/>
      </c>
      <c r="B36" s="16">
        <f>IF(32&lt;=Calculadora!$C$9*12,Calculadora!$C$12,"")</f>
        <v/>
      </c>
      <c r="C36" s="16">
        <f>IF(32&lt;=Calculadora!$C$9*12,E35*Calculadora!$C$8/1200,"")</f>
        <v/>
      </c>
      <c r="D36" s="16">
        <f>IF(32&lt;=Calculadora!$C$9*12,B36-C36,"")</f>
        <v/>
      </c>
      <c r="E36" s="16">
        <f>IF(32&lt;=Calculadora!$C$9*12,E35-D36,"")</f>
        <v/>
      </c>
    </row>
    <row r="37">
      <c r="A37" s="15">
        <f>IF(33&lt;=Calculadora!$C$9*12,33,"")</f>
        <v/>
      </c>
      <c r="B37" s="16">
        <f>IF(33&lt;=Calculadora!$C$9*12,Calculadora!$C$12,"")</f>
        <v/>
      </c>
      <c r="C37" s="16">
        <f>IF(33&lt;=Calculadora!$C$9*12,E36*Calculadora!$C$8/1200,"")</f>
        <v/>
      </c>
      <c r="D37" s="16">
        <f>IF(33&lt;=Calculadora!$C$9*12,B37-C37,"")</f>
        <v/>
      </c>
      <c r="E37" s="16">
        <f>IF(33&lt;=Calculadora!$C$9*12,E36-D37,"")</f>
        <v/>
      </c>
    </row>
    <row r="38">
      <c r="A38" s="15">
        <f>IF(34&lt;=Calculadora!$C$9*12,34,"")</f>
        <v/>
      </c>
      <c r="B38" s="16">
        <f>IF(34&lt;=Calculadora!$C$9*12,Calculadora!$C$12,"")</f>
        <v/>
      </c>
      <c r="C38" s="16">
        <f>IF(34&lt;=Calculadora!$C$9*12,E37*Calculadora!$C$8/1200,"")</f>
        <v/>
      </c>
      <c r="D38" s="16">
        <f>IF(34&lt;=Calculadora!$C$9*12,B38-C38,"")</f>
        <v/>
      </c>
      <c r="E38" s="16">
        <f>IF(34&lt;=Calculadora!$C$9*12,E37-D38,"")</f>
        <v/>
      </c>
    </row>
    <row r="39">
      <c r="A39" s="15">
        <f>IF(35&lt;=Calculadora!$C$9*12,35,"")</f>
        <v/>
      </c>
      <c r="B39" s="16">
        <f>IF(35&lt;=Calculadora!$C$9*12,Calculadora!$C$12,"")</f>
        <v/>
      </c>
      <c r="C39" s="16">
        <f>IF(35&lt;=Calculadora!$C$9*12,E38*Calculadora!$C$8/1200,"")</f>
        <v/>
      </c>
      <c r="D39" s="16">
        <f>IF(35&lt;=Calculadora!$C$9*12,B39-C39,"")</f>
        <v/>
      </c>
      <c r="E39" s="16">
        <f>IF(35&lt;=Calculadora!$C$9*12,E38-D39,"")</f>
        <v/>
      </c>
    </row>
    <row r="40">
      <c r="A40" s="15">
        <f>IF(36&lt;=Calculadora!$C$9*12,36,"")</f>
        <v/>
      </c>
      <c r="B40" s="16">
        <f>IF(36&lt;=Calculadora!$C$9*12,Calculadora!$C$12,"")</f>
        <v/>
      </c>
      <c r="C40" s="16">
        <f>IF(36&lt;=Calculadora!$C$9*12,E39*Calculadora!$C$8/1200,"")</f>
        <v/>
      </c>
      <c r="D40" s="16">
        <f>IF(36&lt;=Calculadora!$C$9*12,B40-C40,"")</f>
        <v/>
      </c>
      <c r="E40" s="16">
        <f>IF(36&lt;=Calculadora!$C$9*12,E39-D40,"")</f>
        <v/>
      </c>
    </row>
    <row r="41">
      <c r="A41" s="15">
        <f>IF(37&lt;=Calculadora!$C$9*12,37,"")</f>
        <v/>
      </c>
      <c r="B41" s="16">
        <f>IF(37&lt;=Calculadora!$C$9*12,Calculadora!$C$12,"")</f>
        <v/>
      </c>
      <c r="C41" s="16">
        <f>IF(37&lt;=Calculadora!$C$9*12,E40*Calculadora!$C$8/1200,"")</f>
        <v/>
      </c>
      <c r="D41" s="16">
        <f>IF(37&lt;=Calculadora!$C$9*12,B41-C41,"")</f>
        <v/>
      </c>
      <c r="E41" s="16">
        <f>IF(37&lt;=Calculadora!$C$9*12,E40-D41,"")</f>
        <v/>
      </c>
    </row>
    <row r="42">
      <c r="A42" s="15">
        <f>IF(38&lt;=Calculadora!$C$9*12,38,"")</f>
        <v/>
      </c>
      <c r="B42" s="16">
        <f>IF(38&lt;=Calculadora!$C$9*12,Calculadora!$C$12,"")</f>
        <v/>
      </c>
      <c r="C42" s="16">
        <f>IF(38&lt;=Calculadora!$C$9*12,E41*Calculadora!$C$8/1200,"")</f>
        <v/>
      </c>
      <c r="D42" s="16">
        <f>IF(38&lt;=Calculadora!$C$9*12,B42-C42,"")</f>
        <v/>
      </c>
      <c r="E42" s="16">
        <f>IF(38&lt;=Calculadora!$C$9*12,E41-D42,"")</f>
        <v/>
      </c>
    </row>
    <row r="43">
      <c r="A43" s="15">
        <f>IF(39&lt;=Calculadora!$C$9*12,39,"")</f>
        <v/>
      </c>
      <c r="B43" s="16">
        <f>IF(39&lt;=Calculadora!$C$9*12,Calculadora!$C$12,"")</f>
        <v/>
      </c>
      <c r="C43" s="16">
        <f>IF(39&lt;=Calculadora!$C$9*12,E42*Calculadora!$C$8/1200,"")</f>
        <v/>
      </c>
      <c r="D43" s="16">
        <f>IF(39&lt;=Calculadora!$C$9*12,B43-C43,"")</f>
        <v/>
      </c>
      <c r="E43" s="16">
        <f>IF(39&lt;=Calculadora!$C$9*12,E42-D43,"")</f>
        <v/>
      </c>
    </row>
    <row r="44">
      <c r="A44" s="15">
        <f>IF(40&lt;=Calculadora!$C$9*12,40,"")</f>
        <v/>
      </c>
      <c r="B44" s="16">
        <f>IF(40&lt;=Calculadora!$C$9*12,Calculadora!$C$12,"")</f>
        <v/>
      </c>
      <c r="C44" s="16">
        <f>IF(40&lt;=Calculadora!$C$9*12,E43*Calculadora!$C$8/1200,"")</f>
        <v/>
      </c>
      <c r="D44" s="16">
        <f>IF(40&lt;=Calculadora!$C$9*12,B44-C44,"")</f>
        <v/>
      </c>
      <c r="E44" s="16">
        <f>IF(40&lt;=Calculadora!$C$9*12,E43-D44,"")</f>
        <v/>
      </c>
    </row>
    <row r="45">
      <c r="A45" s="15">
        <f>IF(41&lt;=Calculadora!$C$9*12,41,"")</f>
        <v/>
      </c>
      <c r="B45" s="16">
        <f>IF(41&lt;=Calculadora!$C$9*12,Calculadora!$C$12,"")</f>
        <v/>
      </c>
      <c r="C45" s="16">
        <f>IF(41&lt;=Calculadora!$C$9*12,E44*Calculadora!$C$8/1200,"")</f>
        <v/>
      </c>
      <c r="D45" s="16">
        <f>IF(41&lt;=Calculadora!$C$9*12,B45-C45,"")</f>
        <v/>
      </c>
      <c r="E45" s="16">
        <f>IF(41&lt;=Calculadora!$C$9*12,E44-D45,"")</f>
        <v/>
      </c>
    </row>
    <row r="46">
      <c r="A46" s="15">
        <f>IF(42&lt;=Calculadora!$C$9*12,42,"")</f>
        <v/>
      </c>
      <c r="B46" s="16">
        <f>IF(42&lt;=Calculadora!$C$9*12,Calculadora!$C$12,"")</f>
        <v/>
      </c>
      <c r="C46" s="16">
        <f>IF(42&lt;=Calculadora!$C$9*12,E45*Calculadora!$C$8/1200,"")</f>
        <v/>
      </c>
      <c r="D46" s="16">
        <f>IF(42&lt;=Calculadora!$C$9*12,B46-C46,"")</f>
        <v/>
      </c>
      <c r="E46" s="16">
        <f>IF(42&lt;=Calculadora!$C$9*12,E45-D46,"")</f>
        <v/>
      </c>
    </row>
    <row r="47">
      <c r="A47" s="15">
        <f>IF(43&lt;=Calculadora!$C$9*12,43,"")</f>
        <v/>
      </c>
      <c r="B47" s="16">
        <f>IF(43&lt;=Calculadora!$C$9*12,Calculadora!$C$12,"")</f>
        <v/>
      </c>
      <c r="C47" s="16">
        <f>IF(43&lt;=Calculadora!$C$9*12,E46*Calculadora!$C$8/1200,"")</f>
        <v/>
      </c>
      <c r="D47" s="16">
        <f>IF(43&lt;=Calculadora!$C$9*12,B47-C47,"")</f>
        <v/>
      </c>
      <c r="E47" s="16">
        <f>IF(43&lt;=Calculadora!$C$9*12,E46-D47,"")</f>
        <v/>
      </c>
    </row>
    <row r="48">
      <c r="A48" s="15">
        <f>IF(44&lt;=Calculadora!$C$9*12,44,"")</f>
        <v/>
      </c>
      <c r="B48" s="16">
        <f>IF(44&lt;=Calculadora!$C$9*12,Calculadora!$C$12,"")</f>
        <v/>
      </c>
      <c r="C48" s="16">
        <f>IF(44&lt;=Calculadora!$C$9*12,E47*Calculadora!$C$8/1200,"")</f>
        <v/>
      </c>
      <c r="D48" s="16">
        <f>IF(44&lt;=Calculadora!$C$9*12,B48-C48,"")</f>
        <v/>
      </c>
      <c r="E48" s="16">
        <f>IF(44&lt;=Calculadora!$C$9*12,E47-D48,"")</f>
        <v/>
      </c>
    </row>
    <row r="49">
      <c r="A49" s="15">
        <f>IF(45&lt;=Calculadora!$C$9*12,45,"")</f>
        <v/>
      </c>
      <c r="B49" s="16">
        <f>IF(45&lt;=Calculadora!$C$9*12,Calculadora!$C$12,"")</f>
        <v/>
      </c>
      <c r="C49" s="16">
        <f>IF(45&lt;=Calculadora!$C$9*12,E48*Calculadora!$C$8/1200,"")</f>
        <v/>
      </c>
      <c r="D49" s="16">
        <f>IF(45&lt;=Calculadora!$C$9*12,B49-C49,"")</f>
        <v/>
      </c>
      <c r="E49" s="16">
        <f>IF(45&lt;=Calculadora!$C$9*12,E48-D49,"")</f>
        <v/>
      </c>
    </row>
    <row r="50">
      <c r="A50" s="15">
        <f>IF(46&lt;=Calculadora!$C$9*12,46,"")</f>
        <v/>
      </c>
      <c r="B50" s="16">
        <f>IF(46&lt;=Calculadora!$C$9*12,Calculadora!$C$12,"")</f>
        <v/>
      </c>
      <c r="C50" s="16">
        <f>IF(46&lt;=Calculadora!$C$9*12,E49*Calculadora!$C$8/1200,"")</f>
        <v/>
      </c>
      <c r="D50" s="16">
        <f>IF(46&lt;=Calculadora!$C$9*12,B50-C50,"")</f>
        <v/>
      </c>
      <c r="E50" s="16">
        <f>IF(46&lt;=Calculadora!$C$9*12,E49-D50,"")</f>
        <v/>
      </c>
    </row>
    <row r="51">
      <c r="A51" s="15">
        <f>IF(47&lt;=Calculadora!$C$9*12,47,"")</f>
        <v/>
      </c>
      <c r="B51" s="16">
        <f>IF(47&lt;=Calculadora!$C$9*12,Calculadora!$C$12,"")</f>
        <v/>
      </c>
      <c r="C51" s="16">
        <f>IF(47&lt;=Calculadora!$C$9*12,E50*Calculadora!$C$8/1200,"")</f>
        <v/>
      </c>
      <c r="D51" s="16">
        <f>IF(47&lt;=Calculadora!$C$9*12,B51-C51,"")</f>
        <v/>
      </c>
      <c r="E51" s="16">
        <f>IF(47&lt;=Calculadora!$C$9*12,E50-D51,"")</f>
        <v/>
      </c>
    </row>
    <row r="52">
      <c r="A52" s="15">
        <f>IF(48&lt;=Calculadora!$C$9*12,48,"")</f>
        <v/>
      </c>
      <c r="B52" s="16">
        <f>IF(48&lt;=Calculadora!$C$9*12,Calculadora!$C$12,"")</f>
        <v/>
      </c>
      <c r="C52" s="16">
        <f>IF(48&lt;=Calculadora!$C$9*12,E51*Calculadora!$C$8/1200,"")</f>
        <v/>
      </c>
      <c r="D52" s="16">
        <f>IF(48&lt;=Calculadora!$C$9*12,B52-C52,"")</f>
        <v/>
      </c>
      <c r="E52" s="16">
        <f>IF(48&lt;=Calculadora!$C$9*12,E51-D52,"")</f>
        <v/>
      </c>
    </row>
    <row r="53">
      <c r="A53" s="15">
        <f>IF(49&lt;=Calculadora!$C$9*12,49,"")</f>
        <v/>
      </c>
      <c r="B53" s="16">
        <f>IF(49&lt;=Calculadora!$C$9*12,Calculadora!$C$12,"")</f>
        <v/>
      </c>
      <c r="C53" s="16">
        <f>IF(49&lt;=Calculadora!$C$9*12,E52*Calculadora!$C$8/1200,"")</f>
        <v/>
      </c>
      <c r="D53" s="16">
        <f>IF(49&lt;=Calculadora!$C$9*12,B53-C53,"")</f>
        <v/>
      </c>
      <c r="E53" s="16">
        <f>IF(49&lt;=Calculadora!$C$9*12,E52-D53,"")</f>
        <v/>
      </c>
    </row>
    <row r="54">
      <c r="A54" s="15">
        <f>IF(50&lt;=Calculadora!$C$9*12,50,"")</f>
        <v/>
      </c>
      <c r="B54" s="16">
        <f>IF(50&lt;=Calculadora!$C$9*12,Calculadora!$C$12,"")</f>
        <v/>
      </c>
      <c r="C54" s="16">
        <f>IF(50&lt;=Calculadora!$C$9*12,E53*Calculadora!$C$8/1200,"")</f>
        <v/>
      </c>
      <c r="D54" s="16">
        <f>IF(50&lt;=Calculadora!$C$9*12,B54-C54,"")</f>
        <v/>
      </c>
      <c r="E54" s="16">
        <f>IF(50&lt;=Calculadora!$C$9*12,E53-D54,"")</f>
        <v/>
      </c>
    </row>
    <row r="55">
      <c r="A55" s="15">
        <f>IF(51&lt;=Calculadora!$C$9*12,51,"")</f>
        <v/>
      </c>
      <c r="B55" s="16">
        <f>IF(51&lt;=Calculadora!$C$9*12,Calculadora!$C$12,"")</f>
        <v/>
      </c>
      <c r="C55" s="16">
        <f>IF(51&lt;=Calculadora!$C$9*12,E54*Calculadora!$C$8/1200,"")</f>
        <v/>
      </c>
      <c r="D55" s="16">
        <f>IF(51&lt;=Calculadora!$C$9*12,B55-C55,"")</f>
        <v/>
      </c>
      <c r="E55" s="16">
        <f>IF(51&lt;=Calculadora!$C$9*12,E54-D55,"")</f>
        <v/>
      </c>
    </row>
    <row r="56">
      <c r="A56" s="15">
        <f>IF(52&lt;=Calculadora!$C$9*12,52,"")</f>
        <v/>
      </c>
      <c r="B56" s="16">
        <f>IF(52&lt;=Calculadora!$C$9*12,Calculadora!$C$12,"")</f>
        <v/>
      </c>
      <c r="C56" s="16">
        <f>IF(52&lt;=Calculadora!$C$9*12,E55*Calculadora!$C$8/1200,"")</f>
        <v/>
      </c>
      <c r="D56" s="16">
        <f>IF(52&lt;=Calculadora!$C$9*12,B56-C56,"")</f>
        <v/>
      </c>
      <c r="E56" s="16">
        <f>IF(52&lt;=Calculadora!$C$9*12,E55-D56,"")</f>
        <v/>
      </c>
    </row>
    <row r="57">
      <c r="A57" s="15">
        <f>IF(53&lt;=Calculadora!$C$9*12,53,"")</f>
        <v/>
      </c>
      <c r="B57" s="16">
        <f>IF(53&lt;=Calculadora!$C$9*12,Calculadora!$C$12,"")</f>
        <v/>
      </c>
      <c r="C57" s="16">
        <f>IF(53&lt;=Calculadora!$C$9*12,E56*Calculadora!$C$8/1200,"")</f>
        <v/>
      </c>
      <c r="D57" s="16">
        <f>IF(53&lt;=Calculadora!$C$9*12,B57-C57,"")</f>
        <v/>
      </c>
      <c r="E57" s="16">
        <f>IF(53&lt;=Calculadora!$C$9*12,E56-D57,"")</f>
        <v/>
      </c>
    </row>
    <row r="58">
      <c r="A58" s="15">
        <f>IF(54&lt;=Calculadora!$C$9*12,54,"")</f>
        <v/>
      </c>
      <c r="B58" s="16">
        <f>IF(54&lt;=Calculadora!$C$9*12,Calculadora!$C$12,"")</f>
        <v/>
      </c>
      <c r="C58" s="16">
        <f>IF(54&lt;=Calculadora!$C$9*12,E57*Calculadora!$C$8/1200,"")</f>
        <v/>
      </c>
      <c r="D58" s="16">
        <f>IF(54&lt;=Calculadora!$C$9*12,B58-C58,"")</f>
        <v/>
      </c>
      <c r="E58" s="16">
        <f>IF(54&lt;=Calculadora!$C$9*12,E57-D58,"")</f>
        <v/>
      </c>
    </row>
    <row r="59">
      <c r="A59" s="15">
        <f>IF(55&lt;=Calculadora!$C$9*12,55,"")</f>
        <v/>
      </c>
      <c r="B59" s="16">
        <f>IF(55&lt;=Calculadora!$C$9*12,Calculadora!$C$12,"")</f>
        <v/>
      </c>
      <c r="C59" s="16">
        <f>IF(55&lt;=Calculadora!$C$9*12,E58*Calculadora!$C$8/1200,"")</f>
        <v/>
      </c>
      <c r="D59" s="16">
        <f>IF(55&lt;=Calculadora!$C$9*12,B59-C59,"")</f>
        <v/>
      </c>
      <c r="E59" s="16">
        <f>IF(55&lt;=Calculadora!$C$9*12,E58-D59,"")</f>
        <v/>
      </c>
    </row>
    <row r="60">
      <c r="A60" s="15">
        <f>IF(56&lt;=Calculadora!$C$9*12,56,"")</f>
        <v/>
      </c>
      <c r="B60" s="16">
        <f>IF(56&lt;=Calculadora!$C$9*12,Calculadora!$C$12,"")</f>
        <v/>
      </c>
      <c r="C60" s="16">
        <f>IF(56&lt;=Calculadora!$C$9*12,E59*Calculadora!$C$8/1200,"")</f>
        <v/>
      </c>
      <c r="D60" s="16">
        <f>IF(56&lt;=Calculadora!$C$9*12,B60-C60,"")</f>
        <v/>
      </c>
      <c r="E60" s="16">
        <f>IF(56&lt;=Calculadora!$C$9*12,E59-D60,"")</f>
        <v/>
      </c>
    </row>
    <row r="61">
      <c r="A61" s="15">
        <f>IF(57&lt;=Calculadora!$C$9*12,57,"")</f>
        <v/>
      </c>
      <c r="B61" s="16">
        <f>IF(57&lt;=Calculadora!$C$9*12,Calculadora!$C$12,"")</f>
        <v/>
      </c>
      <c r="C61" s="16">
        <f>IF(57&lt;=Calculadora!$C$9*12,E60*Calculadora!$C$8/1200,"")</f>
        <v/>
      </c>
      <c r="D61" s="16">
        <f>IF(57&lt;=Calculadora!$C$9*12,B61-C61,"")</f>
        <v/>
      </c>
      <c r="E61" s="16">
        <f>IF(57&lt;=Calculadora!$C$9*12,E60-D61,"")</f>
        <v/>
      </c>
    </row>
    <row r="62">
      <c r="A62" s="15">
        <f>IF(58&lt;=Calculadora!$C$9*12,58,"")</f>
        <v/>
      </c>
      <c r="B62" s="16">
        <f>IF(58&lt;=Calculadora!$C$9*12,Calculadora!$C$12,"")</f>
        <v/>
      </c>
      <c r="C62" s="16">
        <f>IF(58&lt;=Calculadora!$C$9*12,E61*Calculadora!$C$8/1200,"")</f>
        <v/>
      </c>
      <c r="D62" s="16">
        <f>IF(58&lt;=Calculadora!$C$9*12,B62-C62,"")</f>
        <v/>
      </c>
      <c r="E62" s="16">
        <f>IF(58&lt;=Calculadora!$C$9*12,E61-D62,"")</f>
        <v/>
      </c>
    </row>
    <row r="63">
      <c r="A63" s="15">
        <f>IF(59&lt;=Calculadora!$C$9*12,59,"")</f>
        <v/>
      </c>
      <c r="B63" s="16">
        <f>IF(59&lt;=Calculadora!$C$9*12,Calculadora!$C$12,"")</f>
        <v/>
      </c>
      <c r="C63" s="16">
        <f>IF(59&lt;=Calculadora!$C$9*12,E62*Calculadora!$C$8/1200,"")</f>
        <v/>
      </c>
      <c r="D63" s="16">
        <f>IF(59&lt;=Calculadora!$C$9*12,B63-C63,"")</f>
        <v/>
      </c>
      <c r="E63" s="16">
        <f>IF(59&lt;=Calculadora!$C$9*12,E62-D63,"")</f>
        <v/>
      </c>
    </row>
    <row r="64">
      <c r="A64" s="15">
        <f>IF(60&lt;=Calculadora!$C$9*12,60,"")</f>
        <v/>
      </c>
      <c r="B64" s="16">
        <f>IF(60&lt;=Calculadora!$C$9*12,Calculadora!$C$12,"")</f>
        <v/>
      </c>
      <c r="C64" s="16">
        <f>IF(60&lt;=Calculadora!$C$9*12,E63*Calculadora!$C$8/1200,"")</f>
        <v/>
      </c>
      <c r="D64" s="16">
        <f>IF(60&lt;=Calculadora!$C$9*12,B64-C64,"")</f>
        <v/>
      </c>
      <c r="E64" s="16">
        <f>IF(60&lt;=Calculadora!$C$9*12,E63-D64,"")</f>
        <v/>
      </c>
    </row>
    <row r="65">
      <c r="A65" s="15">
        <f>IF(61&lt;=Calculadora!$C$9*12,61,"")</f>
        <v/>
      </c>
      <c r="B65" s="16">
        <f>IF(61&lt;=Calculadora!$C$9*12,Calculadora!$C$12,"")</f>
        <v/>
      </c>
      <c r="C65" s="16">
        <f>IF(61&lt;=Calculadora!$C$9*12,E64*Calculadora!$C$8/1200,"")</f>
        <v/>
      </c>
      <c r="D65" s="16">
        <f>IF(61&lt;=Calculadora!$C$9*12,B65-C65,"")</f>
        <v/>
      </c>
      <c r="E65" s="16">
        <f>IF(61&lt;=Calculadora!$C$9*12,E64-D65,"")</f>
        <v/>
      </c>
    </row>
    <row r="66">
      <c r="A66" s="15">
        <f>IF(62&lt;=Calculadora!$C$9*12,62,"")</f>
        <v/>
      </c>
      <c r="B66" s="16">
        <f>IF(62&lt;=Calculadora!$C$9*12,Calculadora!$C$12,"")</f>
        <v/>
      </c>
      <c r="C66" s="16">
        <f>IF(62&lt;=Calculadora!$C$9*12,E65*Calculadora!$C$8/1200,"")</f>
        <v/>
      </c>
      <c r="D66" s="16">
        <f>IF(62&lt;=Calculadora!$C$9*12,B66-C66,"")</f>
        <v/>
      </c>
      <c r="E66" s="16">
        <f>IF(62&lt;=Calculadora!$C$9*12,E65-D66,"")</f>
        <v/>
      </c>
    </row>
    <row r="67">
      <c r="A67" s="15">
        <f>IF(63&lt;=Calculadora!$C$9*12,63,"")</f>
        <v/>
      </c>
      <c r="B67" s="16">
        <f>IF(63&lt;=Calculadora!$C$9*12,Calculadora!$C$12,"")</f>
        <v/>
      </c>
      <c r="C67" s="16">
        <f>IF(63&lt;=Calculadora!$C$9*12,E66*Calculadora!$C$8/1200,"")</f>
        <v/>
      </c>
      <c r="D67" s="16">
        <f>IF(63&lt;=Calculadora!$C$9*12,B67-C67,"")</f>
        <v/>
      </c>
      <c r="E67" s="16">
        <f>IF(63&lt;=Calculadora!$C$9*12,E66-D67,"")</f>
        <v/>
      </c>
    </row>
    <row r="68">
      <c r="A68" s="15">
        <f>IF(64&lt;=Calculadora!$C$9*12,64,"")</f>
        <v/>
      </c>
      <c r="B68" s="16">
        <f>IF(64&lt;=Calculadora!$C$9*12,Calculadora!$C$12,"")</f>
        <v/>
      </c>
      <c r="C68" s="16">
        <f>IF(64&lt;=Calculadora!$C$9*12,E67*Calculadora!$C$8/1200,"")</f>
        <v/>
      </c>
      <c r="D68" s="16">
        <f>IF(64&lt;=Calculadora!$C$9*12,B68-C68,"")</f>
        <v/>
      </c>
      <c r="E68" s="16">
        <f>IF(64&lt;=Calculadora!$C$9*12,E67-D68,"")</f>
        <v/>
      </c>
    </row>
    <row r="69">
      <c r="A69" s="15">
        <f>IF(65&lt;=Calculadora!$C$9*12,65,"")</f>
        <v/>
      </c>
      <c r="B69" s="16">
        <f>IF(65&lt;=Calculadora!$C$9*12,Calculadora!$C$12,"")</f>
        <v/>
      </c>
      <c r="C69" s="16">
        <f>IF(65&lt;=Calculadora!$C$9*12,E68*Calculadora!$C$8/1200,"")</f>
        <v/>
      </c>
      <c r="D69" s="16">
        <f>IF(65&lt;=Calculadora!$C$9*12,B69-C69,"")</f>
        <v/>
      </c>
      <c r="E69" s="16">
        <f>IF(65&lt;=Calculadora!$C$9*12,E68-D69,"")</f>
        <v/>
      </c>
    </row>
    <row r="70">
      <c r="A70" s="15">
        <f>IF(66&lt;=Calculadora!$C$9*12,66,"")</f>
        <v/>
      </c>
      <c r="B70" s="16">
        <f>IF(66&lt;=Calculadora!$C$9*12,Calculadora!$C$12,"")</f>
        <v/>
      </c>
      <c r="C70" s="16">
        <f>IF(66&lt;=Calculadora!$C$9*12,E69*Calculadora!$C$8/1200,"")</f>
        <v/>
      </c>
      <c r="D70" s="16">
        <f>IF(66&lt;=Calculadora!$C$9*12,B70-C70,"")</f>
        <v/>
      </c>
      <c r="E70" s="16">
        <f>IF(66&lt;=Calculadora!$C$9*12,E69-D70,"")</f>
        <v/>
      </c>
    </row>
    <row r="71">
      <c r="A71" s="15">
        <f>IF(67&lt;=Calculadora!$C$9*12,67,"")</f>
        <v/>
      </c>
      <c r="B71" s="16">
        <f>IF(67&lt;=Calculadora!$C$9*12,Calculadora!$C$12,"")</f>
        <v/>
      </c>
      <c r="C71" s="16">
        <f>IF(67&lt;=Calculadora!$C$9*12,E70*Calculadora!$C$8/1200,"")</f>
        <v/>
      </c>
      <c r="D71" s="16">
        <f>IF(67&lt;=Calculadora!$C$9*12,B71-C71,"")</f>
        <v/>
      </c>
      <c r="E71" s="16">
        <f>IF(67&lt;=Calculadora!$C$9*12,E70-D71,"")</f>
        <v/>
      </c>
    </row>
    <row r="72">
      <c r="A72" s="15">
        <f>IF(68&lt;=Calculadora!$C$9*12,68,"")</f>
        <v/>
      </c>
      <c r="B72" s="16">
        <f>IF(68&lt;=Calculadora!$C$9*12,Calculadora!$C$12,"")</f>
        <v/>
      </c>
      <c r="C72" s="16">
        <f>IF(68&lt;=Calculadora!$C$9*12,E71*Calculadora!$C$8/1200,"")</f>
        <v/>
      </c>
      <c r="D72" s="16">
        <f>IF(68&lt;=Calculadora!$C$9*12,B72-C72,"")</f>
        <v/>
      </c>
      <c r="E72" s="16">
        <f>IF(68&lt;=Calculadora!$C$9*12,E71-D72,"")</f>
        <v/>
      </c>
    </row>
    <row r="73">
      <c r="A73" s="15">
        <f>IF(69&lt;=Calculadora!$C$9*12,69,"")</f>
        <v/>
      </c>
      <c r="B73" s="16">
        <f>IF(69&lt;=Calculadora!$C$9*12,Calculadora!$C$12,"")</f>
        <v/>
      </c>
      <c r="C73" s="16">
        <f>IF(69&lt;=Calculadora!$C$9*12,E72*Calculadora!$C$8/1200,"")</f>
        <v/>
      </c>
      <c r="D73" s="16">
        <f>IF(69&lt;=Calculadora!$C$9*12,B73-C73,"")</f>
        <v/>
      </c>
      <c r="E73" s="16">
        <f>IF(69&lt;=Calculadora!$C$9*12,E72-D73,"")</f>
        <v/>
      </c>
    </row>
    <row r="74">
      <c r="A74" s="15">
        <f>IF(70&lt;=Calculadora!$C$9*12,70,"")</f>
        <v/>
      </c>
      <c r="B74" s="16">
        <f>IF(70&lt;=Calculadora!$C$9*12,Calculadora!$C$12,"")</f>
        <v/>
      </c>
      <c r="C74" s="16">
        <f>IF(70&lt;=Calculadora!$C$9*12,E73*Calculadora!$C$8/1200,"")</f>
        <v/>
      </c>
      <c r="D74" s="16">
        <f>IF(70&lt;=Calculadora!$C$9*12,B74-C74,"")</f>
        <v/>
      </c>
      <c r="E74" s="16">
        <f>IF(70&lt;=Calculadora!$C$9*12,E73-D74,"")</f>
        <v/>
      </c>
    </row>
    <row r="75">
      <c r="A75" s="15">
        <f>IF(71&lt;=Calculadora!$C$9*12,71,"")</f>
        <v/>
      </c>
      <c r="B75" s="16">
        <f>IF(71&lt;=Calculadora!$C$9*12,Calculadora!$C$12,"")</f>
        <v/>
      </c>
      <c r="C75" s="16">
        <f>IF(71&lt;=Calculadora!$C$9*12,E74*Calculadora!$C$8/1200,"")</f>
        <v/>
      </c>
      <c r="D75" s="16">
        <f>IF(71&lt;=Calculadora!$C$9*12,B75-C75,"")</f>
        <v/>
      </c>
      <c r="E75" s="16">
        <f>IF(71&lt;=Calculadora!$C$9*12,E74-D75,"")</f>
        <v/>
      </c>
    </row>
    <row r="76">
      <c r="A76" s="15">
        <f>IF(72&lt;=Calculadora!$C$9*12,72,"")</f>
        <v/>
      </c>
      <c r="B76" s="16">
        <f>IF(72&lt;=Calculadora!$C$9*12,Calculadora!$C$12,"")</f>
        <v/>
      </c>
      <c r="C76" s="16">
        <f>IF(72&lt;=Calculadora!$C$9*12,E75*Calculadora!$C$8/1200,"")</f>
        <v/>
      </c>
      <c r="D76" s="16">
        <f>IF(72&lt;=Calculadora!$C$9*12,B76-C76,"")</f>
        <v/>
      </c>
      <c r="E76" s="16">
        <f>IF(72&lt;=Calculadora!$C$9*12,E75-D76,"")</f>
        <v/>
      </c>
    </row>
    <row r="77">
      <c r="A77" s="15">
        <f>IF(73&lt;=Calculadora!$C$9*12,73,"")</f>
        <v/>
      </c>
      <c r="B77" s="16">
        <f>IF(73&lt;=Calculadora!$C$9*12,Calculadora!$C$12,"")</f>
        <v/>
      </c>
      <c r="C77" s="16">
        <f>IF(73&lt;=Calculadora!$C$9*12,E76*Calculadora!$C$8/1200,"")</f>
        <v/>
      </c>
      <c r="D77" s="16">
        <f>IF(73&lt;=Calculadora!$C$9*12,B77-C77,"")</f>
        <v/>
      </c>
      <c r="E77" s="16">
        <f>IF(73&lt;=Calculadora!$C$9*12,E76-D77,"")</f>
        <v/>
      </c>
    </row>
    <row r="78">
      <c r="A78" s="15">
        <f>IF(74&lt;=Calculadora!$C$9*12,74,"")</f>
        <v/>
      </c>
      <c r="B78" s="16">
        <f>IF(74&lt;=Calculadora!$C$9*12,Calculadora!$C$12,"")</f>
        <v/>
      </c>
      <c r="C78" s="16">
        <f>IF(74&lt;=Calculadora!$C$9*12,E77*Calculadora!$C$8/1200,"")</f>
        <v/>
      </c>
      <c r="D78" s="16">
        <f>IF(74&lt;=Calculadora!$C$9*12,B78-C78,"")</f>
        <v/>
      </c>
      <c r="E78" s="16">
        <f>IF(74&lt;=Calculadora!$C$9*12,E77-D78,"")</f>
        <v/>
      </c>
    </row>
    <row r="79">
      <c r="A79" s="15">
        <f>IF(75&lt;=Calculadora!$C$9*12,75,"")</f>
        <v/>
      </c>
      <c r="B79" s="16">
        <f>IF(75&lt;=Calculadora!$C$9*12,Calculadora!$C$12,"")</f>
        <v/>
      </c>
      <c r="C79" s="16">
        <f>IF(75&lt;=Calculadora!$C$9*12,E78*Calculadora!$C$8/1200,"")</f>
        <v/>
      </c>
      <c r="D79" s="16">
        <f>IF(75&lt;=Calculadora!$C$9*12,B79-C79,"")</f>
        <v/>
      </c>
      <c r="E79" s="16">
        <f>IF(75&lt;=Calculadora!$C$9*12,E78-D79,"")</f>
        <v/>
      </c>
    </row>
    <row r="80">
      <c r="A80" s="15">
        <f>IF(76&lt;=Calculadora!$C$9*12,76,"")</f>
        <v/>
      </c>
      <c r="B80" s="16">
        <f>IF(76&lt;=Calculadora!$C$9*12,Calculadora!$C$12,"")</f>
        <v/>
      </c>
      <c r="C80" s="16">
        <f>IF(76&lt;=Calculadora!$C$9*12,E79*Calculadora!$C$8/1200,"")</f>
        <v/>
      </c>
      <c r="D80" s="16">
        <f>IF(76&lt;=Calculadora!$C$9*12,B80-C80,"")</f>
        <v/>
      </c>
      <c r="E80" s="16">
        <f>IF(76&lt;=Calculadora!$C$9*12,E79-D80,"")</f>
        <v/>
      </c>
    </row>
    <row r="81">
      <c r="A81" s="15">
        <f>IF(77&lt;=Calculadora!$C$9*12,77,"")</f>
        <v/>
      </c>
      <c r="B81" s="16">
        <f>IF(77&lt;=Calculadora!$C$9*12,Calculadora!$C$12,"")</f>
        <v/>
      </c>
      <c r="C81" s="16">
        <f>IF(77&lt;=Calculadora!$C$9*12,E80*Calculadora!$C$8/1200,"")</f>
        <v/>
      </c>
      <c r="D81" s="16">
        <f>IF(77&lt;=Calculadora!$C$9*12,B81-C81,"")</f>
        <v/>
      </c>
      <c r="E81" s="16">
        <f>IF(77&lt;=Calculadora!$C$9*12,E80-D81,"")</f>
        <v/>
      </c>
    </row>
    <row r="82">
      <c r="A82" s="15">
        <f>IF(78&lt;=Calculadora!$C$9*12,78,"")</f>
        <v/>
      </c>
      <c r="B82" s="16">
        <f>IF(78&lt;=Calculadora!$C$9*12,Calculadora!$C$12,"")</f>
        <v/>
      </c>
      <c r="C82" s="16">
        <f>IF(78&lt;=Calculadora!$C$9*12,E81*Calculadora!$C$8/1200,"")</f>
        <v/>
      </c>
      <c r="D82" s="16">
        <f>IF(78&lt;=Calculadora!$C$9*12,B82-C82,"")</f>
        <v/>
      </c>
      <c r="E82" s="16">
        <f>IF(78&lt;=Calculadora!$C$9*12,E81-D82,"")</f>
        <v/>
      </c>
    </row>
    <row r="83">
      <c r="A83" s="15">
        <f>IF(79&lt;=Calculadora!$C$9*12,79,"")</f>
        <v/>
      </c>
      <c r="B83" s="16">
        <f>IF(79&lt;=Calculadora!$C$9*12,Calculadora!$C$12,"")</f>
        <v/>
      </c>
      <c r="C83" s="16">
        <f>IF(79&lt;=Calculadora!$C$9*12,E82*Calculadora!$C$8/1200,"")</f>
        <v/>
      </c>
      <c r="D83" s="16">
        <f>IF(79&lt;=Calculadora!$C$9*12,B83-C83,"")</f>
        <v/>
      </c>
      <c r="E83" s="16">
        <f>IF(79&lt;=Calculadora!$C$9*12,E82-D83,"")</f>
        <v/>
      </c>
    </row>
    <row r="84">
      <c r="A84" s="15">
        <f>IF(80&lt;=Calculadora!$C$9*12,80,"")</f>
        <v/>
      </c>
      <c r="B84" s="16">
        <f>IF(80&lt;=Calculadora!$C$9*12,Calculadora!$C$12,"")</f>
        <v/>
      </c>
      <c r="C84" s="16">
        <f>IF(80&lt;=Calculadora!$C$9*12,E83*Calculadora!$C$8/1200,"")</f>
        <v/>
      </c>
      <c r="D84" s="16">
        <f>IF(80&lt;=Calculadora!$C$9*12,B84-C84,"")</f>
        <v/>
      </c>
      <c r="E84" s="16">
        <f>IF(80&lt;=Calculadora!$C$9*12,E83-D84,"")</f>
        <v/>
      </c>
    </row>
    <row r="85">
      <c r="A85" s="15">
        <f>IF(81&lt;=Calculadora!$C$9*12,81,"")</f>
        <v/>
      </c>
      <c r="B85" s="16">
        <f>IF(81&lt;=Calculadora!$C$9*12,Calculadora!$C$12,"")</f>
        <v/>
      </c>
      <c r="C85" s="16">
        <f>IF(81&lt;=Calculadora!$C$9*12,E84*Calculadora!$C$8/1200,"")</f>
        <v/>
      </c>
      <c r="D85" s="16">
        <f>IF(81&lt;=Calculadora!$C$9*12,B85-C85,"")</f>
        <v/>
      </c>
      <c r="E85" s="16">
        <f>IF(81&lt;=Calculadora!$C$9*12,E84-D85,"")</f>
        <v/>
      </c>
    </row>
    <row r="86">
      <c r="A86" s="15">
        <f>IF(82&lt;=Calculadora!$C$9*12,82,"")</f>
        <v/>
      </c>
      <c r="B86" s="16">
        <f>IF(82&lt;=Calculadora!$C$9*12,Calculadora!$C$12,"")</f>
        <v/>
      </c>
      <c r="C86" s="16">
        <f>IF(82&lt;=Calculadora!$C$9*12,E85*Calculadora!$C$8/1200,"")</f>
        <v/>
      </c>
      <c r="D86" s="16">
        <f>IF(82&lt;=Calculadora!$C$9*12,B86-C86,"")</f>
        <v/>
      </c>
      <c r="E86" s="16">
        <f>IF(82&lt;=Calculadora!$C$9*12,E85-D86,"")</f>
        <v/>
      </c>
    </row>
    <row r="87">
      <c r="A87" s="15">
        <f>IF(83&lt;=Calculadora!$C$9*12,83,"")</f>
        <v/>
      </c>
      <c r="B87" s="16">
        <f>IF(83&lt;=Calculadora!$C$9*12,Calculadora!$C$12,"")</f>
        <v/>
      </c>
      <c r="C87" s="16">
        <f>IF(83&lt;=Calculadora!$C$9*12,E86*Calculadora!$C$8/1200,"")</f>
        <v/>
      </c>
      <c r="D87" s="16">
        <f>IF(83&lt;=Calculadora!$C$9*12,B87-C87,"")</f>
        <v/>
      </c>
      <c r="E87" s="16">
        <f>IF(83&lt;=Calculadora!$C$9*12,E86-D87,"")</f>
        <v/>
      </c>
    </row>
    <row r="88">
      <c r="A88" s="15">
        <f>IF(84&lt;=Calculadora!$C$9*12,84,"")</f>
        <v/>
      </c>
      <c r="B88" s="16">
        <f>IF(84&lt;=Calculadora!$C$9*12,Calculadora!$C$12,"")</f>
        <v/>
      </c>
      <c r="C88" s="16">
        <f>IF(84&lt;=Calculadora!$C$9*12,E87*Calculadora!$C$8/1200,"")</f>
        <v/>
      </c>
      <c r="D88" s="16">
        <f>IF(84&lt;=Calculadora!$C$9*12,B88-C88,"")</f>
        <v/>
      </c>
      <c r="E88" s="16">
        <f>IF(84&lt;=Calculadora!$C$9*12,E87-D88,"")</f>
        <v/>
      </c>
    </row>
    <row r="89">
      <c r="A89" s="15">
        <f>IF(85&lt;=Calculadora!$C$9*12,85,"")</f>
        <v/>
      </c>
      <c r="B89" s="16">
        <f>IF(85&lt;=Calculadora!$C$9*12,Calculadora!$C$12,"")</f>
        <v/>
      </c>
      <c r="C89" s="16">
        <f>IF(85&lt;=Calculadora!$C$9*12,E88*Calculadora!$C$8/1200,"")</f>
        <v/>
      </c>
      <c r="D89" s="16">
        <f>IF(85&lt;=Calculadora!$C$9*12,B89-C89,"")</f>
        <v/>
      </c>
      <c r="E89" s="16">
        <f>IF(85&lt;=Calculadora!$C$9*12,E88-D89,"")</f>
        <v/>
      </c>
    </row>
    <row r="90">
      <c r="A90" s="15">
        <f>IF(86&lt;=Calculadora!$C$9*12,86,"")</f>
        <v/>
      </c>
      <c r="B90" s="16">
        <f>IF(86&lt;=Calculadora!$C$9*12,Calculadora!$C$12,"")</f>
        <v/>
      </c>
      <c r="C90" s="16">
        <f>IF(86&lt;=Calculadora!$C$9*12,E89*Calculadora!$C$8/1200,"")</f>
        <v/>
      </c>
      <c r="D90" s="16">
        <f>IF(86&lt;=Calculadora!$C$9*12,B90-C90,"")</f>
        <v/>
      </c>
      <c r="E90" s="16">
        <f>IF(86&lt;=Calculadora!$C$9*12,E89-D90,"")</f>
        <v/>
      </c>
    </row>
    <row r="91">
      <c r="A91" s="15">
        <f>IF(87&lt;=Calculadora!$C$9*12,87,"")</f>
        <v/>
      </c>
      <c r="B91" s="16">
        <f>IF(87&lt;=Calculadora!$C$9*12,Calculadora!$C$12,"")</f>
        <v/>
      </c>
      <c r="C91" s="16">
        <f>IF(87&lt;=Calculadora!$C$9*12,E90*Calculadora!$C$8/1200,"")</f>
        <v/>
      </c>
      <c r="D91" s="16">
        <f>IF(87&lt;=Calculadora!$C$9*12,B91-C91,"")</f>
        <v/>
      </c>
      <c r="E91" s="16">
        <f>IF(87&lt;=Calculadora!$C$9*12,E90-D91,"")</f>
        <v/>
      </c>
    </row>
    <row r="92">
      <c r="A92" s="15">
        <f>IF(88&lt;=Calculadora!$C$9*12,88,"")</f>
        <v/>
      </c>
      <c r="B92" s="16">
        <f>IF(88&lt;=Calculadora!$C$9*12,Calculadora!$C$12,"")</f>
        <v/>
      </c>
      <c r="C92" s="16">
        <f>IF(88&lt;=Calculadora!$C$9*12,E91*Calculadora!$C$8/1200,"")</f>
        <v/>
      </c>
      <c r="D92" s="16">
        <f>IF(88&lt;=Calculadora!$C$9*12,B92-C92,"")</f>
        <v/>
      </c>
      <c r="E92" s="16">
        <f>IF(88&lt;=Calculadora!$C$9*12,E91-D92,"")</f>
        <v/>
      </c>
    </row>
    <row r="93">
      <c r="A93" s="15">
        <f>IF(89&lt;=Calculadora!$C$9*12,89,"")</f>
        <v/>
      </c>
      <c r="B93" s="16">
        <f>IF(89&lt;=Calculadora!$C$9*12,Calculadora!$C$12,"")</f>
        <v/>
      </c>
      <c r="C93" s="16">
        <f>IF(89&lt;=Calculadora!$C$9*12,E92*Calculadora!$C$8/1200,"")</f>
        <v/>
      </c>
      <c r="D93" s="16">
        <f>IF(89&lt;=Calculadora!$C$9*12,B93-C93,"")</f>
        <v/>
      </c>
      <c r="E93" s="16">
        <f>IF(89&lt;=Calculadora!$C$9*12,E92-D93,"")</f>
        <v/>
      </c>
    </row>
    <row r="94">
      <c r="A94" s="15">
        <f>IF(90&lt;=Calculadora!$C$9*12,90,"")</f>
        <v/>
      </c>
      <c r="B94" s="16">
        <f>IF(90&lt;=Calculadora!$C$9*12,Calculadora!$C$12,"")</f>
        <v/>
      </c>
      <c r="C94" s="16">
        <f>IF(90&lt;=Calculadora!$C$9*12,E93*Calculadora!$C$8/1200,"")</f>
        <v/>
      </c>
      <c r="D94" s="16">
        <f>IF(90&lt;=Calculadora!$C$9*12,B94-C94,"")</f>
        <v/>
      </c>
      <c r="E94" s="16">
        <f>IF(90&lt;=Calculadora!$C$9*12,E93-D94,"")</f>
        <v/>
      </c>
    </row>
    <row r="95">
      <c r="A95" s="15">
        <f>IF(91&lt;=Calculadora!$C$9*12,91,"")</f>
        <v/>
      </c>
      <c r="B95" s="16">
        <f>IF(91&lt;=Calculadora!$C$9*12,Calculadora!$C$12,"")</f>
        <v/>
      </c>
      <c r="C95" s="16">
        <f>IF(91&lt;=Calculadora!$C$9*12,E94*Calculadora!$C$8/1200,"")</f>
        <v/>
      </c>
      <c r="D95" s="16">
        <f>IF(91&lt;=Calculadora!$C$9*12,B95-C95,"")</f>
        <v/>
      </c>
      <c r="E95" s="16">
        <f>IF(91&lt;=Calculadora!$C$9*12,E94-D95,"")</f>
        <v/>
      </c>
    </row>
    <row r="96">
      <c r="A96" s="15">
        <f>IF(92&lt;=Calculadora!$C$9*12,92,"")</f>
        <v/>
      </c>
      <c r="B96" s="16">
        <f>IF(92&lt;=Calculadora!$C$9*12,Calculadora!$C$12,"")</f>
        <v/>
      </c>
      <c r="C96" s="16">
        <f>IF(92&lt;=Calculadora!$C$9*12,E95*Calculadora!$C$8/1200,"")</f>
        <v/>
      </c>
      <c r="D96" s="16">
        <f>IF(92&lt;=Calculadora!$C$9*12,B96-C96,"")</f>
        <v/>
      </c>
      <c r="E96" s="16">
        <f>IF(92&lt;=Calculadora!$C$9*12,E95-D96,"")</f>
        <v/>
      </c>
    </row>
    <row r="97">
      <c r="A97" s="15">
        <f>IF(93&lt;=Calculadora!$C$9*12,93,"")</f>
        <v/>
      </c>
      <c r="B97" s="16">
        <f>IF(93&lt;=Calculadora!$C$9*12,Calculadora!$C$12,"")</f>
        <v/>
      </c>
      <c r="C97" s="16">
        <f>IF(93&lt;=Calculadora!$C$9*12,E96*Calculadora!$C$8/1200,"")</f>
        <v/>
      </c>
      <c r="D97" s="16">
        <f>IF(93&lt;=Calculadora!$C$9*12,B97-C97,"")</f>
        <v/>
      </c>
      <c r="E97" s="16">
        <f>IF(93&lt;=Calculadora!$C$9*12,E96-D97,"")</f>
        <v/>
      </c>
    </row>
    <row r="98">
      <c r="A98" s="15">
        <f>IF(94&lt;=Calculadora!$C$9*12,94,"")</f>
        <v/>
      </c>
      <c r="B98" s="16">
        <f>IF(94&lt;=Calculadora!$C$9*12,Calculadora!$C$12,"")</f>
        <v/>
      </c>
      <c r="C98" s="16">
        <f>IF(94&lt;=Calculadora!$C$9*12,E97*Calculadora!$C$8/1200,"")</f>
        <v/>
      </c>
      <c r="D98" s="16">
        <f>IF(94&lt;=Calculadora!$C$9*12,B98-C98,"")</f>
        <v/>
      </c>
      <c r="E98" s="16">
        <f>IF(94&lt;=Calculadora!$C$9*12,E97-D98,"")</f>
        <v/>
      </c>
    </row>
    <row r="99">
      <c r="A99" s="15">
        <f>IF(95&lt;=Calculadora!$C$9*12,95,"")</f>
        <v/>
      </c>
      <c r="B99" s="16">
        <f>IF(95&lt;=Calculadora!$C$9*12,Calculadora!$C$12,"")</f>
        <v/>
      </c>
      <c r="C99" s="16">
        <f>IF(95&lt;=Calculadora!$C$9*12,E98*Calculadora!$C$8/1200,"")</f>
        <v/>
      </c>
      <c r="D99" s="16">
        <f>IF(95&lt;=Calculadora!$C$9*12,B99-C99,"")</f>
        <v/>
      </c>
      <c r="E99" s="16">
        <f>IF(95&lt;=Calculadora!$C$9*12,E98-D99,"")</f>
        <v/>
      </c>
    </row>
    <row r="100">
      <c r="A100" s="15">
        <f>IF(96&lt;=Calculadora!$C$9*12,96,"")</f>
        <v/>
      </c>
      <c r="B100" s="16">
        <f>IF(96&lt;=Calculadora!$C$9*12,Calculadora!$C$12,"")</f>
        <v/>
      </c>
      <c r="C100" s="16">
        <f>IF(96&lt;=Calculadora!$C$9*12,E99*Calculadora!$C$8/1200,"")</f>
        <v/>
      </c>
      <c r="D100" s="16">
        <f>IF(96&lt;=Calculadora!$C$9*12,B100-C100,"")</f>
        <v/>
      </c>
      <c r="E100" s="16">
        <f>IF(96&lt;=Calculadora!$C$9*12,E99-D100,"")</f>
        <v/>
      </c>
    </row>
    <row r="101">
      <c r="A101" s="15">
        <f>IF(97&lt;=Calculadora!$C$9*12,97,"")</f>
        <v/>
      </c>
      <c r="B101" s="16">
        <f>IF(97&lt;=Calculadora!$C$9*12,Calculadora!$C$12,"")</f>
        <v/>
      </c>
      <c r="C101" s="16">
        <f>IF(97&lt;=Calculadora!$C$9*12,E100*Calculadora!$C$8/1200,"")</f>
        <v/>
      </c>
      <c r="D101" s="16">
        <f>IF(97&lt;=Calculadora!$C$9*12,B101-C101,"")</f>
        <v/>
      </c>
      <c r="E101" s="16">
        <f>IF(97&lt;=Calculadora!$C$9*12,E100-D101,"")</f>
        <v/>
      </c>
    </row>
    <row r="102">
      <c r="A102" s="15">
        <f>IF(98&lt;=Calculadora!$C$9*12,98,"")</f>
        <v/>
      </c>
      <c r="B102" s="16">
        <f>IF(98&lt;=Calculadora!$C$9*12,Calculadora!$C$12,"")</f>
        <v/>
      </c>
      <c r="C102" s="16">
        <f>IF(98&lt;=Calculadora!$C$9*12,E101*Calculadora!$C$8/1200,"")</f>
        <v/>
      </c>
      <c r="D102" s="16">
        <f>IF(98&lt;=Calculadora!$C$9*12,B102-C102,"")</f>
        <v/>
      </c>
      <c r="E102" s="16">
        <f>IF(98&lt;=Calculadora!$C$9*12,E101-D102,"")</f>
        <v/>
      </c>
    </row>
    <row r="103">
      <c r="A103" s="15">
        <f>IF(99&lt;=Calculadora!$C$9*12,99,"")</f>
        <v/>
      </c>
      <c r="B103" s="16">
        <f>IF(99&lt;=Calculadora!$C$9*12,Calculadora!$C$12,"")</f>
        <v/>
      </c>
      <c r="C103" s="16">
        <f>IF(99&lt;=Calculadora!$C$9*12,E102*Calculadora!$C$8/1200,"")</f>
        <v/>
      </c>
      <c r="D103" s="16">
        <f>IF(99&lt;=Calculadora!$C$9*12,B103-C103,"")</f>
        <v/>
      </c>
      <c r="E103" s="16">
        <f>IF(99&lt;=Calculadora!$C$9*12,E102-D103,"")</f>
        <v/>
      </c>
    </row>
    <row r="104">
      <c r="A104" s="15">
        <f>IF(100&lt;=Calculadora!$C$9*12,100,"")</f>
        <v/>
      </c>
      <c r="B104" s="16">
        <f>IF(100&lt;=Calculadora!$C$9*12,Calculadora!$C$12,"")</f>
        <v/>
      </c>
      <c r="C104" s="16">
        <f>IF(100&lt;=Calculadora!$C$9*12,E103*Calculadora!$C$8/1200,"")</f>
        <v/>
      </c>
      <c r="D104" s="16">
        <f>IF(100&lt;=Calculadora!$C$9*12,B104-C104,"")</f>
        <v/>
      </c>
      <c r="E104" s="16">
        <f>IF(100&lt;=Calculadora!$C$9*12,E103-D104,"")</f>
        <v/>
      </c>
    </row>
    <row r="105">
      <c r="A105" s="15">
        <f>IF(101&lt;=Calculadora!$C$9*12,101,"")</f>
        <v/>
      </c>
      <c r="B105" s="16">
        <f>IF(101&lt;=Calculadora!$C$9*12,Calculadora!$C$12,"")</f>
        <v/>
      </c>
      <c r="C105" s="16">
        <f>IF(101&lt;=Calculadora!$C$9*12,E104*Calculadora!$C$8/1200,"")</f>
        <v/>
      </c>
      <c r="D105" s="16">
        <f>IF(101&lt;=Calculadora!$C$9*12,B105-C105,"")</f>
        <v/>
      </c>
      <c r="E105" s="16">
        <f>IF(101&lt;=Calculadora!$C$9*12,E104-D105,"")</f>
        <v/>
      </c>
    </row>
    <row r="106">
      <c r="A106" s="15">
        <f>IF(102&lt;=Calculadora!$C$9*12,102,"")</f>
        <v/>
      </c>
      <c r="B106" s="16">
        <f>IF(102&lt;=Calculadora!$C$9*12,Calculadora!$C$12,"")</f>
        <v/>
      </c>
      <c r="C106" s="16">
        <f>IF(102&lt;=Calculadora!$C$9*12,E105*Calculadora!$C$8/1200,"")</f>
        <v/>
      </c>
      <c r="D106" s="16">
        <f>IF(102&lt;=Calculadora!$C$9*12,B106-C106,"")</f>
        <v/>
      </c>
      <c r="E106" s="16">
        <f>IF(102&lt;=Calculadora!$C$9*12,E105-D106,"")</f>
        <v/>
      </c>
    </row>
    <row r="107">
      <c r="A107" s="15">
        <f>IF(103&lt;=Calculadora!$C$9*12,103,"")</f>
        <v/>
      </c>
      <c r="B107" s="16">
        <f>IF(103&lt;=Calculadora!$C$9*12,Calculadora!$C$12,"")</f>
        <v/>
      </c>
      <c r="C107" s="16">
        <f>IF(103&lt;=Calculadora!$C$9*12,E106*Calculadora!$C$8/1200,"")</f>
        <v/>
      </c>
      <c r="D107" s="16">
        <f>IF(103&lt;=Calculadora!$C$9*12,B107-C107,"")</f>
        <v/>
      </c>
      <c r="E107" s="16">
        <f>IF(103&lt;=Calculadora!$C$9*12,E106-D107,"")</f>
        <v/>
      </c>
    </row>
    <row r="108">
      <c r="A108" s="15">
        <f>IF(104&lt;=Calculadora!$C$9*12,104,"")</f>
        <v/>
      </c>
      <c r="B108" s="16">
        <f>IF(104&lt;=Calculadora!$C$9*12,Calculadora!$C$12,"")</f>
        <v/>
      </c>
      <c r="C108" s="16">
        <f>IF(104&lt;=Calculadora!$C$9*12,E107*Calculadora!$C$8/1200,"")</f>
        <v/>
      </c>
      <c r="D108" s="16">
        <f>IF(104&lt;=Calculadora!$C$9*12,B108-C108,"")</f>
        <v/>
      </c>
      <c r="E108" s="16">
        <f>IF(104&lt;=Calculadora!$C$9*12,E107-D108,"")</f>
        <v/>
      </c>
    </row>
    <row r="109">
      <c r="A109" s="15">
        <f>IF(105&lt;=Calculadora!$C$9*12,105,"")</f>
        <v/>
      </c>
      <c r="B109" s="16">
        <f>IF(105&lt;=Calculadora!$C$9*12,Calculadora!$C$12,"")</f>
        <v/>
      </c>
      <c r="C109" s="16">
        <f>IF(105&lt;=Calculadora!$C$9*12,E108*Calculadora!$C$8/1200,"")</f>
        <v/>
      </c>
      <c r="D109" s="16">
        <f>IF(105&lt;=Calculadora!$C$9*12,B109-C109,"")</f>
        <v/>
      </c>
      <c r="E109" s="16">
        <f>IF(105&lt;=Calculadora!$C$9*12,E108-D109,"")</f>
        <v/>
      </c>
    </row>
    <row r="110">
      <c r="A110" s="15">
        <f>IF(106&lt;=Calculadora!$C$9*12,106,"")</f>
        <v/>
      </c>
      <c r="B110" s="16">
        <f>IF(106&lt;=Calculadora!$C$9*12,Calculadora!$C$12,"")</f>
        <v/>
      </c>
      <c r="C110" s="16">
        <f>IF(106&lt;=Calculadora!$C$9*12,E109*Calculadora!$C$8/1200,"")</f>
        <v/>
      </c>
      <c r="D110" s="16">
        <f>IF(106&lt;=Calculadora!$C$9*12,B110-C110,"")</f>
        <v/>
      </c>
      <c r="E110" s="16">
        <f>IF(106&lt;=Calculadora!$C$9*12,E109-D110,"")</f>
        <v/>
      </c>
    </row>
    <row r="111">
      <c r="A111" s="15">
        <f>IF(107&lt;=Calculadora!$C$9*12,107,"")</f>
        <v/>
      </c>
      <c r="B111" s="16">
        <f>IF(107&lt;=Calculadora!$C$9*12,Calculadora!$C$12,"")</f>
        <v/>
      </c>
      <c r="C111" s="16">
        <f>IF(107&lt;=Calculadora!$C$9*12,E110*Calculadora!$C$8/1200,"")</f>
        <v/>
      </c>
      <c r="D111" s="16">
        <f>IF(107&lt;=Calculadora!$C$9*12,B111-C111,"")</f>
        <v/>
      </c>
      <c r="E111" s="16">
        <f>IF(107&lt;=Calculadora!$C$9*12,E110-D111,"")</f>
        <v/>
      </c>
    </row>
    <row r="112">
      <c r="A112" s="15">
        <f>IF(108&lt;=Calculadora!$C$9*12,108,"")</f>
        <v/>
      </c>
      <c r="B112" s="16">
        <f>IF(108&lt;=Calculadora!$C$9*12,Calculadora!$C$12,"")</f>
        <v/>
      </c>
      <c r="C112" s="16">
        <f>IF(108&lt;=Calculadora!$C$9*12,E111*Calculadora!$C$8/1200,"")</f>
        <v/>
      </c>
      <c r="D112" s="16">
        <f>IF(108&lt;=Calculadora!$C$9*12,B112-C112,"")</f>
        <v/>
      </c>
      <c r="E112" s="16">
        <f>IF(108&lt;=Calculadora!$C$9*12,E111-D112,"")</f>
        <v/>
      </c>
    </row>
    <row r="113">
      <c r="A113" s="15">
        <f>IF(109&lt;=Calculadora!$C$9*12,109,"")</f>
        <v/>
      </c>
      <c r="B113" s="16">
        <f>IF(109&lt;=Calculadora!$C$9*12,Calculadora!$C$12,"")</f>
        <v/>
      </c>
      <c r="C113" s="16">
        <f>IF(109&lt;=Calculadora!$C$9*12,E112*Calculadora!$C$8/1200,"")</f>
        <v/>
      </c>
      <c r="D113" s="16">
        <f>IF(109&lt;=Calculadora!$C$9*12,B113-C113,"")</f>
        <v/>
      </c>
      <c r="E113" s="16">
        <f>IF(109&lt;=Calculadora!$C$9*12,E112-D113,"")</f>
        <v/>
      </c>
    </row>
    <row r="114">
      <c r="A114" s="15">
        <f>IF(110&lt;=Calculadora!$C$9*12,110,"")</f>
        <v/>
      </c>
      <c r="B114" s="16">
        <f>IF(110&lt;=Calculadora!$C$9*12,Calculadora!$C$12,"")</f>
        <v/>
      </c>
      <c r="C114" s="16">
        <f>IF(110&lt;=Calculadora!$C$9*12,E113*Calculadora!$C$8/1200,"")</f>
        <v/>
      </c>
      <c r="D114" s="16">
        <f>IF(110&lt;=Calculadora!$C$9*12,B114-C114,"")</f>
        <v/>
      </c>
      <c r="E114" s="16">
        <f>IF(110&lt;=Calculadora!$C$9*12,E113-D114,"")</f>
        <v/>
      </c>
    </row>
    <row r="115">
      <c r="A115" s="15">
        <f>IF(111&lt;=Calculadora!$C$9*12,111,"")</f>
        <v/>
      </c>
      <c r="B115" s="16">
        <f>IF(111&lt;=Calculadora!$C$9*12,Calculadora!$C$12,"")</f>
        <v/>
      </c>
      <c r="C115" s="16">
        <f>IF(111&lt;=Calculadora!$C$9*12,E114*Calculadora!$C$8/1200,"")</f>
        <v/>
      </c>
      <c r="D115" s="16">
        <f>IF(111&lt;=Calculadora!$C$9*12,B115-C115,"")</f>
        <v/>
      </c>
      <c r="E115" s="16">
        <f>IF(111&lt;=Calculadora!$C$9*12,E114-D115,"")</f>
        <v/>
      </c>
    </row>
    <row r="116">
      <c r="A116" s="15">
        <f>IF(112&lt;=Calculadora!$C$9*12,112,"")</f>
        <v/>
      </c>
      <c r="B116" s="16">
        <f>IF(112&lt;=Calculadora!$C$9*12,Calculadora!$C$12,"")</f>
        <v/>
      </c>
      <c r="C116" s="16">
        <f>IF(112&lt;=Calculadora!$C$9*12,E115*Calculadora!$C$8/1200,"")</f>
        <v/>
      </c>
      <c r="D116" s="16">
        <f>IF(112&lt;=Calculadora!$C$9*12,B116-C116,"")</f>
        <v/>
      </c>
      <c r="E116" s="16">
        <f>IF(112&lt;=Calculadora!$C$9*12,E115-D116,"")</f>
        <v/>
      </c>
    </row>
    <row r="117">
      <c r="A117" s="15">
        <f>IF(113&lt;=Calculadora!$C$9*12,113,"")</f>
        <v/>
      </c>
      <c r="B117" s="16">
        <f>IF(113&lt;=Calculadora!$C$9*12,Calculadora!$C$12,"")</f>
        <v/>
      </c>
      <c r="C117" s="16">
        <f>IF(113&lt;=Calculadora!$C$9*12,E116*Calculadora!$C$8/1200,"")</f>
        <v/>
      </c>
      <c r="D117" s="16">
        <f>IF(113&lt;=Calculadora!$C$9*12,B117-C117,"")</f>
        <v/>
      </c>
      <c r="E117" s="16">
        <f>IF(113&lt;=Calculadora!$C$9*12,E116-D117,"")</f>
        <v/>
      </c>
    </row>
    <row r="118">
      <c r="A118" s="15">
        <f>IF(114&lt;=Calculadora!$C$9*12,114,"")</f>
        <v/>
      </c>
      <c r="B118" s="16">
        <f>IF(114&lt;=Calculadora!$C$9*12,Calculadora!$C$12,"")</f>
        <v/>
      </c>
      <c r="C118" s="16">
        <f>IF(114&lt;=Calculadora!$C$9*12,E117*Calculadora!$C$8/1200,"")</f>
        <v/>
      </c>
      <c r="D118" s="16">
        <f>IF(114&lt;=Calculadora!$C$9*12,B118-C118,"")</f>
        <v/>
      </c>
      <c r="E118" s="16">
        <f>IF(114&lt;=Calculadora!$C$9*12,E117-D118,"")</f>
        <v/>
      </c>
    </row>
    <row r="119">
      <c r="A119" s="15">
        <f>IF(115&lt;=Calculadora!$C$9*12,115,"")</f>
        <v/>
      </c>
      <c r="B119" s="16">
        <f>IF(115&lt;=Calculadora!$C$9*12,Calculadora!$C$12,"")</f>
        <v/>
      </c>
      <c r="C119" s="16">
        <f>IF(115&lt;=Calculadora!$C$9*12,E118*Calculadora!$C$8/1200,"")</f>
        <v/>
      </c>
      <c r="D119" s="16">
        <f>IF(115&lt;=Calculadora!$C$9*12,B119-C119,"")</f>
        <v/>
      </c>
      <c r="E119" s="16">
        <f>IF(115&lt;=Calculadora!$C$9*12,E118-D119,"")</f>
        <v/>
      </c>
    </row>
    <row r="120">
      <c r="A120" s="15">
        <f>IF(116&lt;=Calculadora!$C$9*12,116,"")</f>
        <v/>
      </c>
      <c r="B120" s="16">
        <f>IF(116&lt;=Calculadora!$C$9*12,Calculadora!$C$12,"")</f>
        <v/>
      </c>
      <c r="C120" s="16">
        <f>IF(116&lt;=Calculadora!$C$9*12,E119*Calculadora!$C$8/1200,"")</f>
        <v/>
      </c>
      <c r="D120" s="16">
        <f>IF(116&lt;=Calculadora!$C$9*12,B120-C120,"")</f>
        <v/>
      </c>
      <c r="E120" s="16">
        <f>IF(116&lt;=Calculadora!$C$9*12,E119-D120,"")</f>
        <v/>
      </c>
    </row>
    <row r="121">
      <c r="A121" s="15">
        <f>IF(117&lt;=Calculadora!$C$9*12,117,"")</f>
        <v/>
      </c>
      <c r="B121" s="16">
        <f>IF(117&lt;=Calculadora!$C$9*12,Calculadora!$C$12,"")</f>
        <v/>
      </c>
      <c r="C121" s="16">
        <f>IF(117&lt;=Calculadora!$C$9*12,E120*Calculadora!$C$8/1200,"")</f>
        <v/>
      </c>
      <c r="D121" s="16">
        <f>IF(117&lt;=Calculadora!$C$9*12,B121-C121,"")</f>
        <v/>
      </c>
      <c r="E121" s="16">
        <f>IF(117&lt;=Calculadora!$C$9*12,E120-D121,"")</f>
        <v/>
      </c>
    </row>
    <row r="122">
      <c r="A122" s="15">
        <f>IF(118&lt;=Calculadora!$C$9*12,118,"")</f>
        <v/>
      </c>
      <c r="B122" s="16">
        <f>IF(118&lt;=Calculadora!$C$9*12,Calculadora!$C$12,"")</f>
        <v/>
      </c>
      <c r="C122" s="16">
        <f>IF(118&lt;=Calculadora!$C$9*12,E121*Calculadora!$C$8/1200,"")</f>
        <v/>
      </c>
      <c r="D122" s="16">
        <f>IF(118&lt;=Calculadora!$C$9*12,B122-C122,"")</f>
        <v/>
      </c>
      <c r="E122" s="16">
        <f>IF(118&lt;=Calculadora!$C$9*12,E121-D122,"")</f>
        <v/>
      </c>
    </row>
    <row r="123">
      <c r="A123" s="15">
        <f>IF(119&lt;=Calculadora!$C$9*12,119,"")</f>
        <v/>
      </c>
      <c r="B123" s="16">
        <f>IF(119&lt;=Calculadora!$C$9*12,Calculadora!$C$12,"")</f>
        <v/>
      </c>
      <c r="C123" s="16">
        <f>IF(119&lt;=Calculadora!$C$9*12,E122*Calculadora!$C$8/1200,"")</f>
        <v/>
      </c>
      <c r="D123" s="16">
        <f>IF(119&lt;=Calculadora!$C$9*12,B123-C123,"")</f>
        <v/>
      </c>
      <c r="E123" s="16">
        <f>IF(119&lt;=Calculadora!$C$9*12,E122-D123,"")</f>
        <v/>
      </c>
    </row>
    <row r="124">
      <c r="A124" s="15">
        <f>IF(120&lt;=Calculadora!$C$9*12,120,"")</f>
        <v/>
      </c>
      <c r="B124" s="16">
        <f>IF(120&lt;=Calculadora!$C$9*12,Calculadora!$C$12,"")</f>
        <v/>
      </c>
      <c r="C124" s="16">
        <f>IF(120&lt;=Calculadora!$C$9*12,E123*Calculadora!$C$8/1200,"")</f>
        <v/>
      </c>
      <c r="D124" s="16">
        <f>IF(120&lt;=Calculadora!$C$9*12,B124-C124,"")</f>
        <v/>
      </c>
      <c r="E124" s="16">
        <f>IF(120&lt;=Calculadora!$C$9*12,E123-D124,"")</f>
        <v/>
      </c>
    </row>
    <row r="125">
      <c r="A125" s="15">
        <f>IF(121&lt;=Calculadora!$C$9*12,121,"")</f>
        <v/>
      </c>
      <c r="B125" s="16">
        <f>IF(121&lt;=Calculadora!$C$9*12,Calculadora!$C$12,"")</f>
        <v/>
      </c>
      <c r="C125" s="16">
        <f>IF(121&lt;=Calculadora!$C$9*12,E124*Calculadora!$C$8/1200,"")</f>
        <v/>
      </c>
      <c r="D125" s="16">
        <f>IF(121&lt;=Calculadora!$C$9*12,B125-C125,"")</f>
        <v/>
      </c>
      <c r="E125" s="16">
        <f>IF(121&lt;=Calculadora!$C$9*12,E124-D125,"")</f>
        <v/>
      </c>
    </row>
    <row r="126">
      <c r="A126" s="15">
        <f>IF(122&lt;=Calculadora!$C$9*12,122,"")</f>
        <v/>
      </c>
      <c r="B126" s="16">
        <f>IF(122&lt;=Calculadora!$C$9*12,Calculadora!$C$12,"")</f>
        <v/>
      </c>
      <c r="C126" s="16">
        <f>IF(122&lt;=Calculadora!$C$9*12,E125*Calculadora!$C$8/1200,"")</f>
        <v/>
      </c>
      <c r="D126" s="16">
        <f>IF(122&lt;=Calculadora!$C$9*12,B126-C126,"")</f>
        <v/>
      </c>
      <c r="E126" s="16">
        <f>IF(122&lt;=Calculadora!$C$9*12,E125-D126,"")</f>
        <v/>
      </c>
    </row>
    <row r="127">
      <c r="A127" s="15">
        <f>IF(123&lt;=Calculadora!$C$9*12,123,"")</f>
        <v/>
      </c>
      <c r="B127" s="16">
        <f>IF(123&lt;=Calculadora!$C$9*12,Calculadora!$C$12,"")</f>
        <v/>
      </c>
      <c r="C127" s="16">
        <f>IF(123&lt;=Calculadora!$C$9*12,E126*Calculadora!$C$8/1200,"")</f>
        <v/>
      </c>
      <c r="D127" s="16">
        <f>IF(123&lt;=Calculadora!$C$9*12,B127-C127,"")</f>
        <v/>
      </c>
      <c r="E127" s="16">
        <f>IF(123&lt;=Calculadora!$C$9*12,E126-D127,"")</f>
        <v/>
      </c>
    </row>
    <row r="128">
      <c r="A128" s="15">
        <f>IF(124&lt;=Calculadora!$C$9*12,124,"")</f>
        <v/>
      </c>
      <c r="B128" s="16">
        <f>IF(124&lt;=Calculadora!$C$9*12,Calculadora!$C$12,"")</f>
        <v/>
      </c>
      <c r="C128" s="16">
        <f>IF(124&lt;=Calculadora!$C$9*12,E127*Calculadora!$C$8/1200,"")</f>
        <v/>
      </c>
      <c r="D128" s="16">
        <f>IF(124&lt;=Calculadora!$C$9*12,B128-C128,"")</f>
        <v/>
      </c>
      <c r="E128" s="16">
        <f>IF(124&lt;=Calculadora!$C$9*12,E127-D128,"")</f>
        <v/>
      </c>
    </row>
    <row r="129">
      <c r="A129" s="15">
        <f>IF(125&lt;=Calculadora!$C$9*12,125,"")</f>
        <v/>
      </c>
      <c r="B129" s="16">
        <f>IF(125&lt;=Calculadora!$C$9*12,Calculadora!$C$12,"")</f>
        <v/>
      </c>
      <c r="C129" s="16">
        <f>IF(125&lt;=Calculadora!$C$9*12,E128*Calculadora!$C$8/1200,"")</f>
        <v/>
      </c>
      <c r="D129" s="16">
        <f>IF(125&lt;=Calculadora!$C$9*12,B129-C129,"")</f>
        <v/>
      </c>
      <c r="E129" s="16">
        <f>IF(125&lt;=Calculadora!$C$9*12,E128-D129,"")</f>
        <v/>
      </c>
    </row>
    <row r="130">
      <c r="A130" s="15">
        <f>IF(126&lt;=Calculadora!$C$9*12,126,"")</f>
        <v/>
      </c>
      <c r="B130" s="16">
        <f>IF(126&lt;=Calculadora!$C$9*12,Calculadora!$C$12,"")</f>
        <v/>
      </c>
      <c r="C130" s="16">
        <f>IF(126&lt;=Calculadora!$C$9*12,E129*Calculadora!$C$8/1200,"")</f>
        <v/>
      </c>
      <c r="D130" s="16">
        <f>IF(126&lt;=Calculadora!$C$9*12,B130-C130,"")</f>
        <v/>
      </c>
      <c r="E130" s="16">
        <f>IF(126&lt;=Calculadora!$C$9*12,E129-D130,"")</f>
        <v/>
      </c>
    </row>
    <row r="131">
      <c r="A131" s="15">
        <f>IF(127&lt;=Calculadora!$C$9*12,127,"")</f>
        <v/>
      </c>
      <c r="B131" s="16">
        <f>IF(127&lt;=Calculadora!$C$9*12,Calculadora!$C$12,"")</f>
        <v/>
      </c>
      <c r="C131" s="16">
        <f>IF(127&lt;=Calculadora!$C$9*12,E130*Calculadora!$C$8/1200,"")</f>
        <v/>
      </c>
      <c r="D131" s="16">
        <f>IF(127&lt;=Calculadora!$C$9*12,B131-C131,"")</f>
        <v/>
      </c>
      <c r="E131" s="16">
        <f>IF(127&lt;=Calculadora!$C$9*12,E130-D131,"")</f>
        <v/>
      </c>
    </row>
    <row r="132">
      <c r="A132" s="15">
        <f>IF(128&lt;=Calculadora!$C$9*12,128,"")</f>
        <v/>
      </c>
      <c r="B132" s="16">
        <f>IF(128&lt;=Calculadora!$C$9*12,Calculadora!$C$12,"")</f>
        <v/>
      </c>
      <c r="C132" s="16">
        <f>IF(128&lt;=Calculadora!$C$9*12,E131*Calculadora!$C$8/1200,"")</f>
        <v/>
      </c>
      <c r="D132" s="16">
        <f>IF(128&lt;=Calculadora!$C$9*12,B132-C132,"")</f>
        <v/>
      </c>
      <c r="E132" s="16">
        <f>IF(128&lt;=Calculadora!$C$9*12,E131-D132,"")</f>
        <v/>
      </c>
    </row>
    <row r="133">
      <c r="A133" s="15">
        <f>IF(129&lt;=Calculadora!$C$9*12,129,"")</f>
        <v/>
      </c>
      <c r="B133" s="16">
        <f>IF(129&lt;=Calculadora!$C$9*12,Calculadora!$C$12,"")</f>
        <v/>
      </c>
      <c r="C133" s="16">
        <f>IF(129&lt;=Calculadora!$C$9*12,E132*Calculadora!$C$8/1200,"")</f>
        <v/>
      </c>
      <c r="D133" s="16">
        <f>IF(129&lt;=Calculadora!$C$9*12,B133-C133,"")</f>
        <v/>
      </c>
      <c r="E133" s="16">
        <f>IF(129&lt;=Calculadora!$C$9*12,E132-D133,"")</f>
        <v/>
      </c>
    </row>
    <row r="134">
      <c r="A134" s="15">
        <f>IF(130&lt;=Calculadora!$C$9*12,130,"")</f>
        <v/>
      </c>
      <c r="B134" s="16">
        <f>IF(130&lt;=Calculadora!$C$9*12,Calculadora!$C$12,"")</f>
        <v/>
      </c>
      <c r="C134" s="16">
        <f>IF(130&lt;=Calculadora!$C$9*12,E133*Calculadora!$C$8/1200,"")</f>
        <v/>
      </c>
      <c r="D134" s="16">
        <f>IF(130&lt;=Calculadora!$C$9*12,B134-C134,"")</f>
        <v/>
      </c>
      <c r="E134" s="16">
        <f>IF(130&lt;=Calculadora!$C$9*12,E133-D134,"")</f>
        <v/>
      </c>
    </row>
    <row r="135">
      <c r="A135" s="15">
        <f>IF(131&lt;=Calculadora!$C$9*12,131,"")</f>
        <v/>
      </c>
      <c r="B135" s="16">
        <f>IF(131&lt;=Calculadora!$C$9*12,Calculadora!$C$12,"")</f>
        <v/>
      </c>
      <c r="C135" s="16">
        <f>IF(131&lt;=Calculadora!$C$9*12,E134*Calculadora!$C$8/1200,"")</f>
        <v/>
      </c>
      <c r="D135" s="16">
        <f>IF(131&lt;=Calculadora!$C$9*12,B135-C135,"")</f>
        <v/>
      </c>
      <c r="E135" s="16">
        <f>IF(131&lt;=Calculadora!$C$9*12,E134-D135,"")</f>
        <v/>
      </c>
    </row>
    <row r="136">
      <c r="A136" s="15">
        <f>IF(132&lt;=Calculadora!$C$9*12,132,"")</f>
        <v/>
      </c>
      <c r="B136" s="16">
        <f>IF(132&lt;=Calculadora!$C$9*12,Calculadora!$C$12,"")</f>
        <v/>
      </c>
      <c r="C136" s="16">
        <f>IF(132&lt;=Calculadora!$C$9*12,E135*Calculadora!$C$8/1200,"")</f>
        <v/>
      </c>
      <c r="D136" s="16">
        <f>IF(132&lt;=Calculadora!$C$9*12,B136-C136,"")</f>
        <v/>
      </c>
      <c r="E136" s="16">
        <f>IF(132&lt;=Calculadora!$C$9*12,E135-D136,"")</f>
        <v/>
      </c>
    </row>
    <row r="137">
      <c r="A137" s="15">
        <f>IF(133&lt;=Calculadora!$C$9*12,133,"")</f>
        <v/>
      </c>
      <c r="B137" s="16">
        <f>IF(133&lt;=Calculadora!$C$9*12,Calculadora!$C$12,"")</f>
        <v/>
      </c>
      <c r="C137" s="16">
        <f>IF(133&lt;=Calculadora!$C$9*12,E136*Calculadora!$C$8/1200,"")</f>
        <v/>
      </c>
      <c r="D137" s="16">
        <f>IF(133&lt;=Calculadora!$C$9*12,B137-C137,"")</f>
        <v/>
      </c>
      <c r="E137" s="16">
        <f>IF(133&lt;=Calculadora!$C$9*12,E136-D137,"")</f>
        <v/>
      </c>
    </row>
    <row r="138">
      <c r="A138" s="15">
        <f>IF(134&lt;=Calculadora!$C$9*12,134,"")</f>
        <v/>
      </c>
      <c r="B138" s="16">
        <f>IF(134&lt;=Calculadora!$C$9*12,Calculadora!$C$12,"")</f>
        <v/>
      </c>
      <c r="C138" s="16">
        <f>IF(134&lt;=Calculadora!$C$9*12,E137*Calculadora!$C$8/1200,"")</f>
        <v/>
      </c>
      <c r="D138" s="16">
        <f>IF(134&lt;=Calculadora!$C$9*12,B138-C138,"")</f>
        <v/>
      </c>
      <c r="E138" s="16">
        <f>IF(134&lt;=Calculadora!$C$9*12,E137-D138,"")</f>
        <v/>
      </c>
    </row>
    <row r="139">
      <c r="A139" s="15">
        <f>IF(135&lt;=Calculadora!$C$9*12,135,"")</f>
        <v/>
      </c>
      <c r="B139" s="16">
        <f>IF(135&lt;=Calculadora!$C$9*12,Calculadora!$C$12,"")</f>
        <v/>
      </c>
      <c r="C139" s="16">
        <f>IF(135&lt;=Calculadora!$C$9*12,E138*Calculadora!$C$8/1200,"")</f>
        <v/>
      </c>
      <c r="D139" s="16">
        <f>IF(135&lt;=Calculadora!$C$9*12,B139-C139,"")</f>
        <v/>
      </c>
      <c r="E139" s="16">
        <f>IF(135&lt;=Calculadora!$C$9*12,E138-D139,"")</f>
        <v/>
      </c>
    </row>
    <row r="140">
      <c r="A140" s="15">
        <f>IF(136&lt;=Calculadora!$C$9*12,136,"")</f>
        <v/>
      </c>
      <c r="B140" s="16">
        <f>IF(136&lt;=Calculadora!$C$9*12,Calculadora!$C$12,"")</f>
        <v/>
      </c>
      <c r="C140" s="16">
        <f>IF(136&lt;=Calculadora!$C$9*12,E139*Calculadora!$C$8/1200,"")</f>
        <v/>
      </c>
      <c r="D140" s="16">
        <f>IF(136&lt;=Calculadora!$C$9*12,B140-C140,"")</f>
        <v/>
      </c>
      <c r="E140" s="16">
        <f>IF(136&lt;=Calculadora!$C$9*12,E139-D140,"")</f>
        <v/>
      </c>
    </row>
    <row r="141">
      <c r="A141" s="15">
        <f>IF(137&lt;=Calculadora!$C$9*12,137,"")</f>
        <v/>
      </c>
      <c r="B141" s="16">
        <f>IF(137&lt;=Calculadora!$C$9*12,Calculadora!$C$12,"")</f>
        <v/>
      </c>
      <c r="C141" s="16">
        <f>IF(137&lt;=Calculadora!$C$9*12,E140*Calculadora!$C$8/1200,"")</f>
        <v/>
      </c>
      <c r="D141" s="16">
        <f>IF(137&lt;=Calculadora!$C$9*12,B141-C141,"")</f>
        <v/>
      </c>
      <c r="E141" s="16">
        <f>IF(137&lt;=Calculadora!$C$9*12,E140-D141,"")</f>
        <v/>
      </c>
    </row>
    <row r="142">
      <c r="A142" s="15">
        <f>IF(138&lt;=Calculadora!$C$9*12,138,"")</f>
        <v/>
      </c>
      <c r="B142" s="16">
        <f>IF(138&lt;=Calculadora!$C$9*12,Calculadora!$C$12,"")</f>
        <v/>
      </c>
      <c r="C142" s="16">
        <f>IF(138&lt;=Calculadora!$C$9*12,E141*Calculadora!$C$8/1200,"")</f>
        <v/>
      </c>
      <c r="D142" s="16">
        <f>IF(138&lt;=Calculadora!$C$9*12,B142-C142,"")</f>
        <v/>
      </c>
      <c r="E142" s="16">
        <f>IF(138&lt;=Calculadora!$C$9*12,E141-D142,"")</f>
        <v/>
      </c>
    </row>
    <row r="143">
      <c r="A143" s="15">
        <f>IF(139&lt;=Calculadora!$C$9*12,139,"")</f>
        <v/>
      </c>
      <c r="B143" s="16">
        <f>IF(139&lt;=Calculadora!$C$9*12,Calculadora!$C$12,"")</f>
        <v/>
      </c>
      <c r="C143" s="16">
        <f>IF(139&lt;=Calculadora!$C$9*12,E142*Calculadora!$C$8/1200,"")</f>
        <v/>
      </c>
      <c r="D143" s="16">
        <f>IF(139&lt;=Calculadora!$C$9*12,B143-C143,"")</f>
        <v/>
      </c>
      <c r="E143" s="16">
        <f>IF(139&lt;=Calculadora!$C$9*12,E142-D143,"")</f>
        <v/>
      </c>
    </row>
    <row r="144">
      <c r="A144" s="15">
        <f>IF(140&lt;=Calculadora!$C$9*12,140,"")</f>
        <v/>
      </c>
      <c r="B144" s="16">
        <f>IF(140&lt;=Calculadora!$C$9*12,Calculadora!$C$12,"")</f>
        <v/>
      </c>
      <c r="C144" s="16">
        <f>IF(140&lt;=Calculadora!$C$9*12,E143*Calculadora!$C$8/1200,"")</f>
        <v/>
      </c>
      <c r="D144" s="16">
        <f>IF(140&lt;=Calculadora!$C$9*12,B144-C144,"")</f>
        <v/>
      </c>
      <c r="E144" s="16">
        <f>IF(140&lt;=Calculadora!$C$9*12,E143-D144,"")</f>
        <v/>
      </c>
    </row>
    <row r="145">
      <c r="A145" s="15">
        <f>IF(141&lt;=Calculadora!$C$9*12,141,"")</f>
        <v/>
      </c>
      <c r="B145" s="16">
        <f>IF(141&lt;=Calculadora!$C$9*12,Calculadora!$C$12,"")</f>
        <v/>
      </c>
      <c r="C145" s="16">
        <f>IF(141&lt;=Calculadora!$C$9*12,E144*Calculadora!$C$8/1200,"")</f>
        <v/>
      </c>
      <c r="D145" s="16">
        <f>IF(141&lt;=Calculadora!$C$9*12,B145-C145,"")</f>
        <v/>
      </c>
      <c r="E145" s="16">
        <f>IF(141&lt;=Calculadora!$C$9*12,E144-D145,"")</f>
        <v/>
      </c>
    </row>
    <row r="146">
      <c r="A146" s="15">
        <f>IF(142&lt;=Calculadora!$C$9*12,142,"")</f>
        <v/>
      </c>
      <c r="B146" s="16">
        <f>IF(142&lt;=Calculadora!$C$9*12,Calculadora!$C$12,"")</f>
        <v/>
      </c>
      <c r="C146" s="16">
        <f>IF(142&lt;=Calculadora!$C$9*12,E145*Calculadora!$C$8/1200,"")</f>
        <v/>
      </c>
      <c r="D146" s="16">
        <f>IF(142&lt;=Calculadora!$C$9*12,B146-C146,"")</f>
        <v/>
      </c>
      <c r="E146" s="16">
        <f>IF(142&lt;=Calculadora!$C$9*12,E145-D146,"")</f>
        <v/>
      </c>
    </row>
    <row r="147">
      <c r="A147" s="15">
        <f>IF(143&lt;=Calculadora!$C$9*12,143,"")</f>
        <v/>
      </c>
      <c r="B147" s="16">
        <f>IF(143&lt;=Calculadora!$C$9*12,Calculadora!$C$12,"")</f>
        <v/>
      </c>
      <c r="C147" s="16">
        <f>IF(143&lt;=Calculadora!$C$9*12,E146*Calculadora!$C$8/1200,"")</f>
        <v/>
      </c>
      <c r="D147" s="16">
        <f>IF(143&lt;=Calculadora!$C$9*12,B147-C147,"")</f>
        <v/>
      </c>
      <c r="E147" s="16">
        <f>IF(143&lt;=Calculadora!$C$9*12,E146-D147,"")</f>
        <v/>
      </c>
    </row>
    <row r="148">
      <c r="A148" s="15">
        <f>IF(144&lt;=Calculadora!$C$9*12,144,"")</f>
        <v/>
      </c>
      <c r="B148" s="16">
        <f>IF(144&lt;=Calculadora!$C$9*12,Calculadora!$C$12,"")</f>
        <v/>
      </c>
      <c r="C148" s="16">
        <f>IF(144&lt;=Calculadora!$C$9*12,E147*Calculadora!$C$8/1200,"")</f>
        <v/>
      </c>
      <c r="D148" s="16">
        <f>IF(144&lt;=Calculadora!$C$9*12,B148-C148,"")</f>
        <v/>
      </c>
      <c r="E148" s="16">
        <f>IF(144&lt;=Calculadora!$C$9*12,E147-D148,"")</f>
        <v/>
      </c>
    </row>
    <row r="149">
      <c r="A149" s="15">
        <f>IF(145&lt;=Calculadora!$C$9*12,145,"")</f>
        <v/>
      </c>
      <c r="B149" s="16">
        <f>IF(145&lt;=Calculadora!$C$9*12,Calculadora!$C$12,"")</f>
        <v/>
      </c>
      <c r="C149" s="16">
        <f>IF(145&lt;=Calculadora!$C$9*12,E148*Calculadora!$C$8/1200,"")</f>
        <v/>
      </c>
      <c r="D149" s="16">
        <f>IF(145&lt;=Calculadora!$C$9*12,B149-C149,"")</f>
        <v/>
      </c>
      <c r="E149" s="16">
        <f>IF(145&lt;=Calculadora!$C$9*12,E148-D149,"")</f>
        <v/>
      </c>
    </row>
    <row r="150">
      <c r="A150" s="15">
        <f>IF(146&lt;=Calculadora!$C$9*12,146,"")</f>
        <v/>
      </c>
      <c r="B150" s="16">
        <f>IF(146&lt;=Calculadora!$C$9*12,Calculadora!$C$12,"")</f>
        <v/>
      </c>
      <c r="C150" s="16">
        <f>IF(146&lt;=Calculadora!$C$9*12,E149*Calculadora!$C$8/1200,"")</f>
        <v/>
      </c>
      <c r="D150" s="16">
        <f>IF(146&lt;=Calculadora!$C$9*12,B150-C150,"")</f>
        <v/>
      </c>
      <c r="E150" s="16">
        <f>IF(146&lt;=Calculadora!$C$9*12,E149-D150,"")</f>
        <v/>
      </c>
    </row>
    <row r="151">
      <c r="A151" s="15">
        <f>IF(147&lt;=Calculadora!$C$9*12,147,"")</f>
        <v/>
      </c>
      <c r="B151" s="16">
        <f>IF(147&lt;=Calculadora!$C$9*12,Calculadora!$C$12,"")</f>
        <v/>
      </c>
      <c r="C151" s="16">
        <f>IF(147&lt;=Calculadora!$C$9*12,E150*Calculadora!$C$8/1200,"")</f>
        <v/>
      </c>
      <c r="D151" s="16">
        <f>IF(147&lt;=Calculadora!$C$9*12,B151-C151,"")</f>
        <v/>
      </c>
      <c r="E151" s="16">
        <f>IF(147&lt;=Calculadora!$C$9*12,E150-D151,"")</f>
        <v/>
      </c>
    </row>
    <row r="152">
      <c r="A152" s="15">
        <f>IF(148&lt;=Calculadora!$C$9*12,148,"")</f>
        <v/>
      </c>
      <c r="B152" s="16">
        <f>IF(148&lt;=Calculadora!$C$9*12,Calculadora!$C$12,"")</f>
        <v/>
      </c>
      <c r="C152" s="16">
        <f>IF(148&lt;=Calculadora!$C$9*12,E151*Calculadora!$C$8/1200,"")</f>
        <v/>
      </c>
      <c r="D152" s="16">
        <f>IF(148&lt;=Calculadora!$C$9*12,B152-C152,"")</f>
        <v/>
      </c>
      <c r="E152" s="16">
        <f>IF(148&lt;=Calculadora!$C$9*12,E151-D152,"")</f>
        <v/>
      </c>
    </row>
    <row r="153">
      <c r="A153" s="15">
        <f>IF(149&lt;=Calculadora!$C$9*12,149,"")</f>
        <v/>
      </c>
      <c r="B153" s="16">
        <f>IF(149&lt;=Calculadora!$C$9*12,Calculadora!$C$12,"")</f>
        <v/>
      </c>
      <c r="C153" s="16">
        <f>IF(149&lt;=Calculadora!$C$9*12,E152*Calculadora!$C$8/1200,"")</f>
        <v/>
      </c>
      <c r="D153" s="16">
        <f>IF(149&lt;=Calculadora!$C$9*12,B153-C153,"")</f>
        <v/>
      </c>
      <c r="E153" s="16">
        <f>IF(149&lt;=Calculadora!$C$9*12,E152-D153,"")</f>
        <v/>
      </c>
    </row>
    <row r="154">
      <c r="A154" s="15">
        <f>IF(150&lt;=Calculadora!$C$9*12,150,"")</f>
        <v/>
      </c>
      <c r="B154" s="16">
        <f>IF(150&lt;=Calculadora!$C$9*12,Calculadora!$C$12,"")</f>
        <v/>
      </c>
      <c r="C154" s="16">
        <f>IF(150&lt;=Calculadora!$C$9*12,E153*Calculadora!$C$8/1200,"")</f>
        <v/>
      </c>
      <c r="D154" s="16">
        <f>IF(150&lt;=Calculadora!$C$9*12,B154-C154,"")</f>
        <v/>
      </c>
      <c r="E154" s="16">
        <f>IF(150&lt;=Calculadora!$C$9*12,E153-D154,"")</f>
        <v/>
      </c>
    </row>
    <row r="155">
      <c r="A155" s="15">
        <f>IF(151&lt;=Calculadora!$C$9*12,151,"")</f>
        <v/>
      </c>
      <c r="B155" s="16">
        <f>IF(151&lt;=Calculadora!$C$9*12,Calculadora!$C$12,"")</f>
        <v/>
      </c>
      <c r="C155" s="16">
        <f>IF(151&lt;=Calculadora!$C$9*12,E154*Calculadora!$C$8/1200,"")</f>
        <v/>
      </c>
      <c r="D155" s="16">
        <f>IF(151&lt;=Calculadora!$C$9*12,B155-C155,"")</f>
        <v/>
      </c>
      <c r="E155" s="16">
        <f>IF(151&lt;=Calculadora!$C$9*12,E154-D155,"")</f>
        <v/>
      </c>
    </row>
    <row r="156">
      <c r="A156" s="15">
        <f>IF(152&lt;=Calculadora!$C$9*12,152,"")</f>
        <v/>
      </c>
      <c r="B156" s="16">
        <f>IF(152&lt;=Calculadora!$C$9*12,Calculadora!$C$12,"")</f>
        <v/>
      </c>
      <c r="C156" s="16">
        <f>IF(152&lt;=Calculadora!$C$9*12,E155*Calculadora!$C$8/1200,"")</f>
        <v/>
      </c>
      <c r="D156" s="16">
        <f>IF(152&lt;=Calculadora!$C$9*12,B156-C156,"")</f>
        <v/>
      </c>
      <c r="E156" s="16">
        <f>IF(152&lt;=Calculadora!$C$9*12,E155-D156,"")</f>
        <v/>
      </c>
    </row>
    <row r="157">
      <c r="A157" s="15">
        <f>IF(153&lt;=Calculadora!$C$9*12,153,"")</f>
        <v/>
      </c>
      <c r="B157" s="16">
        <f>IF(153&lt;=Calculadora!$C$9*12,Calculadora!$C$12,"")</f>
        <v/>
      </c>
      <c r="C157" s="16">
        <f>IF(153&lt;=Calculadora!$C$9*12,E156*Calculadora!$C$8/1200,"")</f>
        <v/>
      </c>
      <c r="D157" s="16">
        <f>IF(153&lt;=Calculadora!$C$9*12,B157-C157,"")</f>
        <v/>
      </c>
      <c r="E157" s="16">
        <f>IF(153&lt;=Calculadora!$C$9*12,E156-D157,"")</f>
        <v/>
      </c>
    </row>
    <row r="158">
      <c r="A158" s="15">
        <f>IF(154&lt;=Calculadora!$C$9*12,154,"")</f>
        <v/>
      </c>
      <c r="B158" s="16">
        <f>IF(154&lt;=Calculadora!$C$9*12,Calculadora!$C$12,"")</f>
        <v/>
      </c>
      <c r="C158" s="16">
        <f>IF(154&lt;=Calculadora!$C$9*12,E157*Calculadora!$C$8/1200,"")</f>
        <v/>
      </c>
      <c r="D158" s="16">
        <f>IF(154&lt;=Calculadora!$C$9*12,B158-C158,"")</f>
        <v/>
      </c>
      <c r="E158" s="16">
        <f>IF(154&lt;=Calculadora!$C$9*12,E157-D158,"")</f>
        <v/>
      </c>
    </row>
    <row r="159">
      <c r="A159" s="15">
        <f>IF(155&lt;=Calculadora!$C$9*12,155,"")</f>
        <v/>
      </c>
      <c r="B159" s="16">
        <f>IF(155&lt;=Calculadora!$C$9*12,Calculadora!$C$12,"")</f>
        <v/>
      </c>
      <c r="C159" s="16">
        <f>IF(155&lt;=Calculadora!$C$9*12,E158*Calculadora!$C$8/1200,"")</f>
        <v/>
      </c>
      <c r="D159" s="16">
        <f>IF(155&lt;=Calculadora!$C$9*12,B159-C159,"")</f>
        <v/>
      </c>
      <c r="E159" s="16">
        <f>IF(155&lt;=Calculadora!$C$9*12,E158-D159,"")</f>
        <v/>
      </c>
    </row>
    <row r="160">
      <c r="A160" s="15">
        <f>IF(156&lt;=Calculadora!$C$9*12,156,"")</f>
        <v/>
      </c>
      <c r="B160" s="16">
        <f>IF(156&lt;=Calculadora!$C$9*12,Calculadora!$C$12,"")</f>
        <v/>
      </c>
      <c r="C160" s="16">
        <f>IF(156&lt;=Calculadora!$C$9*12,E159*Calculadora!$C$8/1200,"")</f>
        <v/>
      </c>
      <c r="D160" s="16">
        <f>IF(156&lt;=Calculadora!$C$9*12,B160-C160,"")</f>
        <v/>
      </c>
      <c r="E160" s="16">
        <f>IF(156&lt;=Calculadora!$C$9*12,E159-D160,"")</f>
        <v/>
      </c>
    </row>
    <row r="161">
      <c r="A161" s="15">
        <f>IF(157&lt;=Calculadora!$C$9*12,157,"")</f>
        <v/>
      </c>
      <c r="B161" s="16">
        <f>IF(157&lt;=Calculadora!$C$9*12,Calculadora!$C$12,"")</f>
        <v/>
      </c>
      <c r="C161" s="16">
        <f>IF(157&lt;=Calculadora!$C$9*12,E160*Calculadora!$C$8/1200,"")</f>
        <v/>
      </c>
      <c r="D161" s="16">
        <f>IF(157&lt;=Calculadora!$C$9*12,B161-C161,"")</f>
        <v/>
      </c>
      <c r="E161" s="16">
        <f>IF(157&lt;=Calculadora!$C$9*12,E160-D161,"")</f>
        <v/>
      </c>
    </row>
    <row r="162">
      <c r="A162" s="15">
        <f>IF(158&lt;=Calculadora!$C$9*12,158,"")</f>
        <v/>
      </c>
      <c r="B162" s="16">
        <f>IF(158&lt;=Calculadora!$C$9*12,Calculadora!$C$12,"")</f>
        <v/>
      </c>
      <c r="C162" s="16">
        <f>IF(158&lt;=Calculadora!$C$9*12,E161*Calculadora!$C$8/1200,"")</f>
        <v/>
      </c>
      <c r="D162" s="16">
        <f>IF(158&lt;=Calculadora!$C$9*12,B162-C162,"")</f>
        <v/>
      </c>
      <c r="E162" s="16">
        <f>IF(158&lt;=Calculadora!$C$9*12,E161-D162,"")</f>
        <v/>
      </c>
    </row>
    <row r="163">
      <c r="A163" s="15">
        <f>IF(159&lt;=Calculadora!$C$9*12,159,"")</f>
        <v/>
      </c>
      <c r="B163" s="16">
        <f>IF(159&lt;=Calculadora!$C$9*12,Calculadora!$C$12,"")</f>
        <v/>
      </c>
      <c r="C163" s="16">
        <f>IF(159&lt;=Calculadora!$C$9*12,E162*Calculadora!$C$8/1200,"")</f>
        <v/>
      </c>
      <c r="D163" s="16">
        <f>IF(159&lt;=Calculadora!$C$9*12,B163-C163,"")</f>
        <v/>
      </c>
      <c r="E163" s="16">
        <f>IF(159&lt;=Calculadora!$C$9*12,E162-D163,"")</f>
        <v/>
      </c>
    </row>
    <row r="164">
      <c r="A164" s="15">
        <f>IF(160&lt;=Calculadora!$C$9*12,160,"")</f>
        <v/>
      </c>
      <c r="B164" s="16">
        <f>IF(160&lt;=Calculadora!$C$9*12,Calculadora!$C$12,"")</f>
        <v/>
      </c>
      <c r="C164" s="16">
        <f>IF(160&lt;=Calculadora!$C$9*12,E163*Calculadora!$C$8/1200,"")</f>
        <v/>
      </c>
      <c r="D164" s="16">
        <f>IF(160&lt;=Calculadora!$C$9*12,B164-C164,"")</f>
        <v/>
      </c>
      <c r="E164" s="16">
        <f>IF(160&lt;=Calculadora!$C$9*12,E163-D164,"")</f>
        <v/>
      </c>
    </row>
    <row r="165">
      <c r="A165" s="15">
        <f>IF(161&lt;=Calculadora!$C$9*12,161,"")</f>
        <v/>
      </c>
      <c r="B165" s="16">
        <f>IF(161&lt;=Calculadora!$C$9*12,Calculadora!$C$12,"")</f>
        <v/>
      </c>
      <c r="C165" s="16">
        <f>IF(161&lt;=Calculadora!$C$9*12,E164*Calculadora!$C$8/1200,"")</f>
        <v/>
      </c>
      <c r="D165" s="16">
        <f>IF(161&lt;=Calculadora!$C$9*12,B165-C165,"")</f>
        <v/>
      </c>
      <c r="E165" s="16">
        <f>IF(161&lt;=Calculadora!$C$9*12,E164-D165,"")</f>
        <v/>
      </c>
    </row>
    <row r="166">
      <c r="A166" s="15">
        <f>IF(162&lt;=Calculadora!$C$9*12,162,"")</f>
        <v/>
      </c>
      <c r="B166" s="16">
        <f>IF(162&lt;=Calculadora!$C$9*12,Calculadora!$C$12,"")</f>
        <v/>
      </c>
      <c r="C166" s="16">
        <f>IF(162&lt;=Calculadora!$C$9*12,E165*Calculadora!$C$8/1200,"")</f>
        <v/>
      </c>
      <c r="D166" s="16">
        <f>IF(162&lt;=Calculadora!$C$9*12,B166-C166,"")</f>
        <v/>
      </c>
      <c r="E166" s="16">
        <f>IF(162&lt;=Calculadora!$C$9*12,E165-D166,"")</f>
        <v/>
      </c>
    </row>
    <row r="167">
      <c r="A167" s="15">
        <f>IF(163&lt;=Calculadora!$C$9*12,163,"")</f>
        <v/>
      </c>
      <c r="B167" s="16">
        <f>IF(163&lt;=Calculadora!$C$9*12,Calculadora!$C$12,"")</f>
        <v/>
      </c>
      <c r="C167" s="16">
        <f>IF(163&lt;=Calculadora!$C$9*12,E166*Calculadora!$C$8/1200,"")</f>
        <v/>
      </c>
      <c r="D167" s="16">
        <f>IF(163&lt;=Calculadora!$C$9*12,B167-C167,"")</f>
        <v/>
      </c>
      <c r="E167" s="16">
        <f>IF(163&lt;=Calculadora!$C$9*12,E166-D167,"")</f>
        <v/>
      </c>
    </row>
    <row r="168">
      <c r="A168" s="15">
        <f>IF(164&lt;=Calculadora!$C$9*12,164,"")</f>
        <v/>
      </c>
      <c r="B168" s="16">
        <f>IF(164&lt;=Calculadora!$C$9*12,Calculadora!$C$12,"")</f>
        <v/>
      </c>
      <c r="C168" s="16">
        <f>IF(164&lt;=Calculadora!$C$9*12,E167*Calculadora!$C$8/1200,"")</f>
        <v/>
      </c>
      <c r="D168" s="16">
        <f>IF(164&lt;=Calculadora!$C$9*12,B168-C168,"")</f>
        <v/>
      </c>
      <c r="E168" s="16">
        <f>IF(164&lt;=Calculadora!$C$9*12,E167-D168,"")</f>
        <v/>
      </c>
    </row>
    <row r="169">
      <c r="A169" s="15">
        <f>IF(165&lt;=Calculadora!$C$9*12,165,"")</f>
        <v/>
      </c>
      <c r="B169" s="16">
        <f>IF(165&lt;=Calculadora!$C$9*12,Calculadora!$C$12,"")</f>
        <v/>
      </c>
      <c r="C169" s="16">
        <f>IF(165&lt;=Calculadora!$C$9*12,E168*Calculadora!$C$8/1200,"")</f>
        <v/>
      </c>
      <c r="D169" s="16">
        <f>IF(165&lt;=Calculadora!$C$9*12,B169-C169,"")</f>
        <v/>
      </c>
      <c r="E169" s="16">
        <f>IF(165&lt;=Calculadora!$C$9*12,E168-D169,"")</f>
        <v/>
      </c>
    </row>
    <row r="170">
      <c r="A170" s="15">
        <f>IF(166&lt;=Calculadora!$C$9*12,166,"")</f>
        <v/>
      </c>
      <c r="B170" s="16">
        <f>IF(166&lt;=Calculadora!$C$9*12,Calculadora!$C$12,"")</f>
        <v/>
      </c>
      <c r="C170" s="16">
        <f>IF(166&lt;=Calculadora!$C$9*12,E169*Calculadora!$C$8/1200,"")</f>
        <v/>
      </c>
      <c r="D170" s="16">
        <f>IF(166&lt;=Calculadora!$C$9*12,B170-C170,"")</f>
        <v/>
      </c>
      <c r="E170" s="16">
        <f>IF(166&lt;=Calculadora!$C$9*12,E169-D170,"")</f>
        <v/>
      </c>
    </row>
    <row r="171">
      <c r="A171" s="15">
        <f>IF(167&lt;=Calculadora!$C$9*12,167,"")</f>
        <v/>
      </c>
      <c r="B171" s="16">
        <f>IF(167&lt;=Calculadora!$C$9*12,Calculadora!$C$12,"")</f>
        <v/>
      </c>
      <c r="C171" s="16">
        <f>IF(167&lt;=Calculadora!$C$9*12,E170*Calculadora!$C$8/1200,"")</f>
        <v/>
      </c>
      <c r="D171" s="16">
        <f>IF(167&lt;=Calculadora!$C$9*12,B171-C171,"")</f>
        <v/>
      </c>
      <c r="E171" s="16">
        <f>IF(167&lt;=Calculadora!$C$9*12,E170-D171,"")</f>
        <v/>
      </c>
    </row>
    <row r="172">
      <c r="A172" s="15">
        <f>IF(168&lt;=Calculadora!$C$9*12,168,"")</f>
        <v/>
      </c>
      <c r="B172" s="16">
        <f>IF(168&lt;=Calculadora!$C$9*12,Calculadora!$C$12,"")</f>
        <v/>
      </c>
      <c r="C172" s="16">
        <f>IF(168&lt;=Calculadora!$C$9*12,E171*Calculadora!$C$8/1200,"")</f>
        <v/>
      </c>
      <c r="D172" s="16">
        <f>IF(168&lt;=Calculadora!$C$9*12,B172-C172,"")</f>
        <v/>
      </c>
      <c r="E172" s="16">
        <f>IF(168&lt;=Calculadora!$C$9*12,E171-D172,"")</f>
        <v/>
      </c>
    </row>
    <row r="173">
      <c r="A173" s="15">
        <f>IF(169&lt;=Calculadora!$C$9*12,169,"")</f>
        <v/>
      </c>
      <c r="B173" s="16">
        <f>IF(169&lt;=Calculadora!$C$9*12,Calculadora!$C$12,"")</f>
        <v/>
      </c>
      <c r="C173" s="16">
        <f>IF(169&lt;=Calculadora!$C$9*12,E172*Calculadora!$C$8/1200,"")</f>
        <v/>
      </c>
      <c r="D173" s="16">
        <f>IF(169&lt;=Calculadora!$C$9*12,B173-C173,"")</f>
        <v/>
      </c>
      <c r="E173" s="16">
        <f>IF(169&lt;=Calculadora!$C$9*12,E172-D173,"")</f>
        <v/>
      </c>
    </row>
    <row r="174">
      <c r="A174" s="15">
        <f>IF(170&lt;=Calculadora!$C$9*12,170,"")</f>
        <v/>
      </c>
      <c r="B174" s="16">
        <f>IF(170&lt;=Calculadora!$C$9*12,Calculadora!$C$12,"")</f>
        <v/>
      </c>
      <c r="C174" s="16">
        <f>IF(170&lt;=Calculadora!$C$9*12,E173*Calculadora!$C$8/1200,"")</f>
        <v/>
      </c>
      <c r="D174" s="16">
        <f>IF(170&lt;=Calculadora!$C$9*12,B174-C174,"")</f>
        <v/>
      </c>
      <c r="E174" s="16">
        <f>IF(170&lt;=Calculadora!$C$9*12,E173-D174,"")</f>
        <v/>
      </c>
    </row>
    <row r="175">
      <c r="A175" s="15">
        <f>IF(171&lt;=Calculadora!$C$9*12,171,"")</f>
        <v/>
      </c>
      <c r="B175" s="16">
        <f>IF(171&lt;=Calculadora!$C$9*12,Calculadora!$C$12,"")</f>
        <v/>
      </c>
      <c r="C175" s="16">
        <f>IF(171&lt;=Calculadora!$C$9*12,E174*Calculadora!$C$8/1200,"")</f>
        <v/>
      </c>
      <c r="D175" s="16">
        <f>IF(171&lt;=Calculadora!$C$9*12,B175-C175,"")</f>
        <v/>
      </c>
      <c r="E175" s="16">
        <f>IF(171&lt;=Calculadora!$C$9*12,E174-D175,"")</f>
        <v/>
      </c>
    </row>
    <row r="176">
      <c r="A176" s="15">
        <f>IF(172&lt;=Calculadora!$C$9*12,172,"")</f>
        <v/>
      </c>
      <c r="B176" s="16">
        <f>IF(172&lt;=Calculadora!$C$9*12,Calculadora!$C$12,"")</f>
        <v/>
      </c>
      <c r="C176" s="16">
        <f>IF(172&lt;=Calculadora!$C$9*12,E175*Calculadora!$C$8/1200,"")</f>
        <v/>
      </c>
      <c r="D176" s="16">
        <f>IF(172&lt;=Calculadora!$C$9*12,B176-C176,"")</f>
        <v/>
      </c>
      <c r="E176" s="16">
        <f>IF(172&lt;=Calculadora!$C$9*12,E175-D176,"")</f>
        <v/>
      </c>
    </row>
    <row r="177">
      <c r="A177" s="15">
        <f>IF(173&lt;=Calculadora!$C$9*12,173,"")</f>
        <v/>
      </c>
      <c r="B177" s="16">
        <f>IF(173&lt;=Calculadora!$C$9*12,Calculadora!$C$12,"")</f>
        <v/>
      </c>
      <c r="C177" s="16">
        <f>IF(173&lt;=Calculadora!$C$9*12,E176*Calculadora!$C$8/1200,"")</f>
        <v/>
      </c>
      <c r="D177" s="16">
        <f>IF(173&lt;=Calculadora!$C$9*12,B177-C177,"")</f>
        <v/>
      </c>
      <c r="E177" s="16">
        <f>IF(173&lt;=Calculadora!$C$9*12,E176-D177,"")</f>
        <v/>
      </c>
    </row>
    <row r="178">
      <c r="A178" s="15">
        <f>IF(174&lt;=Calculadora!$C$9*12,174,"")</f>
        <v/>
      </c>
      <c r="B178" s="16">
        <f>IF(174&lt;=Calculadora!$C$9*12,Calculadora!$C$12,"")</f>
        <v/>
      </c>
      <c r="C178" s="16">
        <f>IF(174&lt;=Calculadora!$C$9*12,E177*Calculadora!$C$8/1200,"")</f>
        <v/>
      </c>
      <c r="D178" s="16">
        <f>IF(174&lt;=Calculadora!$C$9*12,B178-C178,"")</f>
        <v/>
      </c>
      <c r="E178" s="16">
        <f>IF(174&lt;=Calculadora!$C$9*12,E177-D178,"")</f>
        <v/>
      </c>
    </row>
    <row r="179">
      <c r="A179" s="15">
        <f>IF(175&lt;=Calculadora!$C$9*12,175,"")</f>
        <v/>
      </c>
      <c r="B179" s="16">
        <f>IF(175&lt;=Calculadora!$C$9*12,Calculadora!$C$12,"")</f>
        <v/>
      </c>
      <c r="C179" s="16">
        <f>IF(175&lt;=Calculadora!$C$9*12,E178*Calculadora!$C$8/1200,"")</f>
        <v/>
      </c>
      <c r="D179" s="16">
        <f>IF(175&lt;=Calculadora!$C$9*12,B179-C179,"")</f>
        <v/>
      </c>
      <c r="E179" s="16">
        <f>IF(175&lt;=Calculadora!$C$9*12,E178-D179,"")</f>
        <v/>
      </c>
    </row>
    <row r="180">
      <c r="A180" s="15">
        <f>IF(176&lt;=Calculadora!$C$9*12,176,"")</f>
        <v/>
      </c>
      <c r="B180" s="16">
        <f>IF(176&lt;=Calculadora!$C$9*12,Calculadora!$C$12,"")</f>
        <v/>
      </c>
      <c r="C180" s="16">
        <f>IF(176&lt;=Calculadora!$C$9*12,E179*Calculadora!$C$8/1200,"")</f>
        <v/>
      </c>
      <c r="D180" s="16">
        <f>IF(176&lt;=Calculadora!$C$9*12,B180-C180,"")</f>
        <v/>
      </c>
      <c r="E180" s="16">
        <f>IF(176&lt;=Calculadora!$C$9*12,E179-D180,"")</f>
        <v/>
      </c>
    </row>
    <row r="181">
      <c r="A181" s="15">
        <f>IF(177&lt;=Calculadora!$C$9*12,177,"")</f>
        <v/>
      </c>
      <c r="B181" s="16">
        <f>IF(177&lt;=Calculadora!$C$9*12,Calculadora!$C$12,"")</f>
        <v/>
      </c>
      <c r="C181" s="16">
        <f>IF(177&lt;=Calculadora!$C$9*12,E180*Calculadora!$C$8/1200,"")</f>
        <v/>
      </c>
      <c r="D181" s="16">
        <f>IF(177&lt;=Calculadora!$C$9*12,B181-C181,"")</f>
        <v/>
      </c>
      <c r="E181" s="16">
        <f>IF(177&lt;=Calculadora!$C$9*12,E180-D181,"")</f>
        <v/>
      </c>
    </row>
    <row r="182">
      <c r="A182" s="15">
        <f>IF(178&lt;=Calculadora!$C$9*12,178,"")</f>
        <v/>
      </c>
      <c r="B182" s="16">
        <f>IF(178&lt;=Calculadora!$C$9*12,Calculadora!$C$12,"")</f>
        <v/>
      </c>
      <c r="C182" s="16">
        <f>IF(178&lt;=Calculadora!$C$9*12,E181*Calculadora!$C$8/1200,"")</f>
        <v/>
      </c>
      <c r="D182" s="16">
        <f>IF(178&lt;=Calculadora!$C$9*12,B182-C182,"")</f>
        <v/>
      </c>
      <c r="E182" s="16">
        <f>IF(178&lt;=Calculadora!$C$9*12,E181-D182,"")</f>
        <v/>
      </c>
    </row>
    <row r="183">
      <c r="A183" s="15">
        <f>IF(179&lt;=Calculadora!$C$9*12,179,"")</f>
        <v/>
      </c>
      <c r="B183" s="16">
        <f>IF(179&lt;=Calculadora!$C$9*12,Calculadora!$C$12,"")</f>
        <v/>
      </c>
      <c r="C183" s="16">
        <f>IF(179&lt;=Calculadora!$C$9*12,E182*Calculadora!$C$8/1200,"")</f>
        <v/>
      </c>
      <c r="D183" s="16">
        <f>IF(179&lt;=Calculadora!$C$9*12,B183-C183,"")</f>
        <v/>
      </c>
      <c r="E183" s="16">
        <f>IF(179&lt;=Calculadora!$C$9*12,E182-D183,"")</f>
        <v/>
      </c>
    </row>
    <row r="184">
      <c r="A184" s="15">
        <f>IF(180&lt;=Calculadora!$C$9*12,180,"")</f>
        <v/>
      </c>
      <c r="B184" s="16">
        <f>IF(180&lt;=Calculadora!$C$9*12,Calculadora!$C$12,"")</f>
        <v/>
      </c>
      <c r="C184" s="16">
        <f>IF(180&lt;=Calculadora!$C$9*12,E183*Calculadora!$C$8/1200,"")</f>
        <v/>
      </c>
      <c r="D184" s="16">
        <f>IF(180&lt;=Calculadora!$C$9*12,B184-C184,"")</f>
        <v/>
      </c>
      <c r="E184" s="16">
        <f>IF(180&lt;=Calculadora!$C$9*12,E183-D184,"")</f>
        <v/>
      </c>
    </row>
    <row r="185">
      <c r="A185" s="15">
        <f>IF(181&lt;=Calculadora!$C$9*12,181,"")</f>
        <v/>
      </c>
      <c r="B185" s="16">
        <f>IF(181&lt;=Calculadora!$C$9*12,Calculadora!$C$12,"")</f>
        <v/>
      </c>
      <c r="C185" s="16">
        <f>IF(181&lt;=Calculadora!$C$9*12,E184*Calculadora!$C$8/1200,"")</f>
        <v/>
      </c>
      <c r="D185" s="16">
        <f>IF(181&lt;=Calculadora!$C$9*12,B185-C185,"")</f>
        <v/>
      </c>
      <c r="E185" s="16">
        <f>IF(181&lt;=Calculadora!$C$9*12,E184-D185,"")</f>
        <v/>
      </c>
    </row>
    <row r="186">
      <c r="A186" s="15">
        <f>IF(182&lt;=Calculadora!$C$9*12,182,"")</f>
        <v/>
      </c>
      <c r="B186" s="16">
        <f>IF(182&lt;=Calculadora!$C$9*12,Calculadora!$C$12,"")</f>
        <v/>
      </c>
      <c r="C186" s="16">
        <f>IF(182&lt;=Calculadora!$C$9*12,E185*Calculadora!$C$8/1200,"")</f>
        <v/>
      </c>
      <c r="D186" s="16">
        <f>IF(182&lt;=Calculadora!$C$9*12,B186-C186,"")</f>
        <v/>
      </c>
      <c r="E186" s="16">
        <f>IF(182&lt;=Calculadora!$C$9*12,E185-D186,"")</f>
        <v/>
      </c>
    </row>
    <row r="187">
      <c r="A187" s="15">
        <f>IF(183&lt;=Calculadora!$C$9*12,183,"")</f>
        <v/>
      </c>
      <c r="B187" s="16">
        <f>IF(183&lt;=Calculadora!$C$9*12,Calculadora!$C$12,"")</f>
        <v/>
      </c>
      <c r="C187" s="16">
        <f>IF(183&lt;=Calculadora!$C$9*12,E186*Calculadora!$C$8/1200,"")</f>
        <v/>
      </c>
      <c r="D187" s="16">
        <f>IF(183&lt;=Calculadora!$C$9*12,B187-C187,"")</f>
        <v/>
      </c>
      <c r="E187" s="16">
        <f>IF(183&lt;=Calculadora!$C$9*12,E186-D187,"")</f>
        <v/>
      </c>
    </row>
    <row r="188">
      <c r="A188" s="15">
        <f>IF(184&lt;=Calculadora!$C$9*12,184,"")</f>
        <v/>
      </c>
      <c r="B188" s="16">
        <f>IF(184&lt;=Calculadora!$C$9*12,Calculadora!$C$12,"")</f>
        <v/>
      </c>
      <c r="C188" s="16">
        <f>IF(184&lt;=Calculadora!$C$9*12,E187*Calculadora!$C$8/1200,"")</f>
        <v/>
      </c>
      <c r="D188" s="16">
        <f>IF(184&lt;=Calculadora!$C$9*12,B188-C188,"")</f>
        <v/>
      </c>
      <c r="E188" s="16">
        <f>IF(184&lt;=Calculadora!$C$9*12,E187-D188,"")</f>
        <v/>
      </c>
    </row>
    <row r="189">
      <c r="A189" s="15">
        <f>IF(185&lt;=Calculadora!$C$9*12,185,"")</f>
        <v/>
      </c>
      <c r="B189" s="16">
        <f>IF(185&lt;=Calculadora!$C$9*12,Calculadora!$C$12,"")</f>
        <v/>
      </c>
      <c r="C189" s="16">
        <f>IF(185&lt;=Calculadora!$C$9*12,E188*Calculadora!$C$8/1200,"")</f>
        <v/>
      </c>
      <c r="D189" s="16">
        <f>IF(185&lt;=Calculadora!$C$9*12,B189-C189,"")</f>
        <v/>
      </c>
      <c r="E189" s="16">
        <f>IF(185&lt;=Calculadora!$C$9*12,E188-D189,"")</f>
        <v/>
      </c>
    </row>
    <row r="190">
      <c r="A190" s="15">
        <f>IF(186&lt;=Calculadora!$C$9*12,186,"")</f>
        <v/>
      </c>
      <c r="B190" s="16">
        <f>IF(186&lt;=Calculadora!$C$9*12,Calculadora!$C$12,"")</f>
        <v/>
      </c>
      <c r="C190" s="16">
        <f>IF(186&lt;=Calculadora!$C$9*12,E189*Calculadora!$C$8/1200,"")</f>
        <v/>
      </c>
      <c r="D190" s="16">
        <f>IF(186&lt;=Calculadora!$C$9*12,B190-C190,"")</f>
        <v/>
      </c>
      <c r="E190" s="16">
        <f>IF(186&lt;=Calculadora!$C$9*12,E189-D190,"")</f>
        <v/>
      </c>
    </row>
    <row r="191">
      <c r="A191" s="15">
        <f>IF(187&lt;=Calculadora!$C$9*12,187,"")</f>
        <v/>
      </c>
      <c r="B191" s="16">
        <f>IF(187&lt;=Calculadora!$C$9*12,Calculadora!$C$12,"")</f>
        <v/>
      </c>
      <c r="C191" s="16">
        <f>IF(187&lt;=Calculadora!$C$9*12,E190*Calculadora!$C$8/1200,"")</f>
        <v/>
      </c>
      <c r="D191" s="16">
        <f>IF(187&lt;=Calculadora!$C$9*12,B191-C191,"")</f>
        <v/>
      </c>
      <c r="E191" s="16">
        <f>IF(187&lt;=Calculadora!$C$9*12,E190-D191,"")</f>
        <v/>
      </c>
    </row>
    <row r="192">
      <c r="A192" s="15">
        <f>IF(188&lt;=Calculadora!$C$9*12,188,"")</f>
        <v/>
      </c>
      <c r="B192" s="16">
        <f>IF(188&lt;=Calculadora!$C$9*12,Calculadora!$C$12,"")</f>
        <v/>
      </c>
      <c r="C192" s="16">
        <f>IF(188&lt;=Calculadora!$C$9*12,E191*Calculadora!$C$8/1200,"")</f>
        <v/>
      </c>
      <c r="D192" s="16">
        <f>IF(188&lt;=Calculadora!$C$9*12,B192-C192,"")</f>
        <v/>
      </c>
      <c r="E192" s="16">
        <f>IF(188&lt;=Calculadora!$C$9*12,E191-D192,"")</f>
        <v/>
      </c>
    </row>
    <row r="193">
      <c r="A193" s="15">
        <f>IF(189&lt;=Calculadora!$C$9*12,189,"")</f>
        <v/>
      </c>
      <c r="B193" s="16">
        <f>IF(189&lt;=Calculadora!$C$9*12,Calculadora!$C$12,"")</f>
        <v/>
      </c>
      <c r="C193" s="16">
        <f>IF(189&lt;=Calculadora!$C$9*12,E192*Calculadora!$C$8/1200,"")</f>
        <v/>
      </c>
      <c r="D193" s="16">
        <f>IF(189&lt;=Calculadora!$C$9*12,B193-C193,"")</f>
        <v/>
      </c>
      <c r="E193" s="16">
        <f>IF(189&lt;=Calculadora!$C$9*12,E192-D193,"")</f>
        <v/>
      </c>
    </row>
    <row r="194">
      <c r="A194" s="15">
        <f>IF(190&lt;=Calculadora!$C$9*12,190,"")</f>
        <v/>
      </c>
      <c r="B194" s="16">
        <f>IF(190&lt;=Calculadora!$C$9*12,Calculadora!$C$12,"")</f>
        <v/>
      </c>
      <c r="C194" s="16">
        <f>IF(190&lt;=Calculadora!$C$9*12,E193*Calculadora!$C$8/1200,"")</f>
        <v/>
      </c>
      <c r="D194" s="16">
        <f>IF(190&lt;=Calculadora!$C$9*12,B194-C194,"")</f>
        <v/>
      </c>
      <c r="E194" s="16">
        <f>IF(190&lt;=Calculadora!$C$9*12,E193-D194,"")</f>
        <v/>
      </c>
    </row>
    <row r="195">
      <c r="A195" s="15">
        <f>IF(191&lt;=Calculadora!$C$9*12,191,"")</f>
        <v/>
      </c>
      <c r="B195" s="16">
        <f>IF(191&lt;=Calculadora!$C$9*12,Calculadora!$C$12,"")</f>
        <v/>
      </c>
      <c r="C195" s="16">
        <f>IF(191&lt;=Calculadora!$C$9*12,E194*Calculadora!$C$8/1200,"")</f>
        <v/>
      </c>
      <c r="D195" s="16">
        <f>IF(191&lt;=Calculadora!$C$9*12,B195-C195,"")</f>
        <v/>
      </c>
      <c r="E195" s="16">
        <f>IF(191&lt;=Calculadora!$C$9*12,E194-D195,"")</f>
        <v/>
      </c>
    </row>
    <row r="196">
      <c r="A196" s="15">
        <f>IF(192&lt;=Calculadora!$C$9*12,192,"")</f>
        <v/>
      </c>
      <c r="B196" s="16">
        <f>IF(192&lt;=Calculadora!$C$9*12,Calculadora!$C$12,"")</f>
        <v/>
      </c>
      <c r="C196" s="16">
        <f>IF(192&lt;=Calculadora!$C$9*12,E195*Calculadora!$C$8/1200,"")</f>
        <v/>
      </c>
      <c r="D196" s="16">
        <f>IF(192&lt;=Calculadora!$C$9*12,B196-C196,"")</f>
        <v/>
      </c>
      <c r="E196" s="16">
        <f>IF(192&lt;=Calculadora!$C$9*12,E195-D196,"")</f>
        <v/>
      </c>
    </row>
    <row r="197">
      <c r="A197" s="15">
        <f>IF(193&lt;=Calculadora!$C$9*12,193,"")</f>
        <v/>
      </c>
      <c r="B197" s="16">
        <f>IF(193&lt;=Calculadora!$C$9*12,Calculadora!$C$12,"")</f>
        <v/>
      </c>
      <c r="C197" s="16">
        <f>IF(193&lt;=Calculadora!$C$9*12,E196*Calculadora!$C$8/1200,"")</f>
        <v/>
      </c>
      <c r="D197" s="16">
        <f>IF(193&lt;=Calculadora!$C$9*12,B197-C197,"")</f>
        <v/>
      </c>
      <c r="E197" s="16">
        <f>IF(193&lt;=Calculadora!$C$9*12,E196-D197,"")</f>
        <v/>
      </c>
    </row>
    <row r="198">
      <c r="A198" s="15">
        <f>IF(194&lt;=Calculadora!$C$9*12,194,"")</f>
        <v/>
      </c>
      <c r="B198" s="16">
        <f>IF(194&lt;=Calculadora!$C$9*12,Calculadora!$C$12,"")</f>
        <v/>
      </c>
      <c r="C198" s="16">
        <f>IF(194&lt;=Calculadora!$C$9*12,E197*Calculadora!$C$8/1200,"")</f>
        <v/>
      </c>
      <c r="D198" s="16">
        <f>IF(194&lt;=Calculadora!$C$9*12,B198-C198,"")</f>
        <v/>
      </c>
      <c r="E198" s="16">
        <f>IF(194&lt;=Calculadora!$C$9*12,E197-D198,"")</f>
        <v/>
      </c>
    </row>
    <row r="199">
      <c r="A199" s="15">
        <f>IF(195&lt;=Calculadora!$C$9*12,195,"")</f>
        <v/>
      </c>
      <c r="B199" s="16">
        <f>IF(195&lt;=Calculadora!$C$9*12,Calculadora!$C$12,"")</f>
        <v/>
      </c>
      <c r="C199" s="16">
        <f>IF(195&lt;=Calculadora!$C$9*12,E198*Calculadora!$C$8/1200,"")</f>
        <v/>
      </c>
      <c r="D199" s="16">
        <f>IF(195&lt;=Calculadora!$C$9*12,B199-C199,"")</f>
        <v/>
      </c>
      <c r="E199" s="16">
        <f>IF(195&lt;=Calculadora!$C$9*12,E198-D199,"")</f>
        <v/>
      </c>
    </row>
    <row r="200">
      <c r="A200" s="15">
        <f>IF(196&lt;=Calculadora!$C$9*12,196,"")</f>
        <v/>
      </c>
      <c r="B200" s="16">
        <f>IF(196&lt;=Calculadora!$C$9*12,Calculadora!$C$12,"")</f>
        <v/>
      </c>
      <c r="C200" s="16">
        <f>IF(196&lt;=Calculadora!$C$9*12,E199*Calculadora!$C$8/1200,"")</f>
        <v/>
      </c>
      <c r="D200" s="16">
        <f>IF(196&lt;=Calculadora!$C$9*12,B200-C200,"")</f>
        <v/>
      </c>
      <c r="E200" s="16">
        <f>IF(196&lt;=Calculadora!$C$9*12,E199-D200,"")</f>
        <v/>
      </c>
    </row>
    <row r="201">
      <c r="A201" s="15">
        <f>IF(197&lt;=Calculadora!$C$9*12,197,"")</f>
        <v/>
      </c>
      <c r="B201" s="16">
        <f>IF(197&lt;=Calculadora!$C$9*12,Calculadora!$C$12,"")</f>
        <v/>
      </c>
      <c r="C201" s="16">
        <f>IF(197&lt;=Calculadora!$C$9*12,E200*Calculadora!$C$8/1200,"")</f>
        <v/>
      </c>
      <c r="D201" s="16">
        <f>IF(197&lt;=Calculadora!$C$9*12,B201-C201,"")</f>
        <v/>
      </c>
      <c r="E201" s="16">
        <f>IF(197&lt;=Calculadora!$C$9*12,E200-D201,"")</f>
        <v/>
      </c>
    </row>
    <row r="202">
      <c r="A202" s="15">
        <f>IF(198&lt;=Calculadora!$C$9*12,198,"")</f>
        <v/>
      </c>
      <c r="B202" s="16">
        <f>IF(198&lt;=Calculadora!$C$9*12,Calculadora!$C$12,"")</f>
        <v/>
      </c>
      <c r="C202" s="16">
        <f>IF(198&lt;=Calculadora!$C$9*12,E201*Calculadora!$C$8/1200,"")</f>
        <v/>
      </c>
      <c r="D202" s="16">
        <f>IF(198&lt;=Calculadora!$C$9*12,B202-C202,"")</f>
        <v/>
      </c>
      <c r="E202" s="16">
        <f>IF(198&lt;=Calculadora!$C$9*12,E201-D202,"")</f>
        <v/>
      </c>
    </row>
    <row r="203">
      <c r="A203" s="15">
        <f>IF(199&lt;=Calculadora!$C$9*12,199,"")</f>
        <v/>
      </c>
      <c r="B203" s="16">
        <f>IF(199&lt;=Calculadora!$C$9*12,Calculadora!$C$12,"")</f>
        <v/>
      </c>
      <c r="C203" s="16">
        <f>IF(199&lt;=Calculadora!$C$9*12,E202*Calculadora!$C$8/1200,"")</f>
        <v/>
      </c>
      <c r="D203" s="16">
        <f>IF(199&lt;=Calculadora!$C$9*12,B203-C203,"")</f>
        <v/>
      </c>
      <c r="E203" s="16">
        <f>IF(199&lt;=Calculadora!$C$9*12,E202-D203,"")</f>
        <v/>
      </c>
    </row>
    <row r="204">
      <c r="A204" s="15">
        <f>IF(200&lt;=Calculadora!$C$9*12,200,"")</f>
        <v/>
      </c>
      <c r="B204" s="16">
        <f>IF(200&lt;=Calculadora!$C$9*12,Calculadora!$C$12,"")</f>
        <v/>
      </c>
      <c r="C204" s="16">
        <f>IF(200&lt;=Calculadora!$C$9*12,E203*Calculadora!$C$8/1200,"")</f>
        <v/>
      </c>
      <c r="D204" s="16">
        <f>IF(200&lt;=Calculadora!$C$9*12,B204-C204,"")</f>
        <v/>
      </c>
      <c r="E204" s="16">
        <f>IF(200&lt;=Calculadora!$C$9*12,E203-D204,"")</f>
        <v/>
      </c>
    </row>
    <row r="205">
      <c r="A205" s="15">
        <f>IF(201&lt;=Calculadora!$C$9*12,201,"")</f>
        <v/>
      </c>
      <c r="B205" s="16">
        <f>IF(201&lt;=Calculadora!$C$9*12,Calculadora!$C$12,"")</f>
        <v/>
      </c>
      <c r="C205" s="16">
        <f>IF(201&lt;=Calculadora!$C$9*12,E204*Calculadora!$C$8/1200,"")</f>
        <v/>
      </c>
      <c r="D205" s="16">
        <f>IF(201&lt;=Calculadora!$C$9*12,B205-C205,"")</f>
        <v/>
      </c>
      <c r="E205" s="16">
        <f>IF(201&lt;=Calculadora!$C$9*12,E204-D205,"")</f>
        <v/>
      </c>
    </row>
    <row r="206">
      <c r="A206" s="15">
        <f>IF(202&lt;=Calculadora!$C$9*12,202,"")</f>
        <v/>
      </c>
      <c r="B206" s="16">
        <f>IF(202&lt;=Calculadora!$C$9*12,Calculadora!$C$12,"")</f>
        <v/>
      </c>
      <c r="C206" s="16">
        <f>IF(202&lt;=Calculadora!$C$9*12,E205*Calculadora!$C$8/1200,"")</f>
        <v/>
      </c>
      <c r="D206" s="16">
        <f>IF(202&lt;=Calculadora!$C$9*12,B206-C206,"")</f>
        <v/>
      </c>
      <c r="E206" s="16">
        <f>IF(202&lt;=Calculadora!$C$9*12,E205-D206,"")</f>
        <v/>
      </c>
    </row>
    <row r="207">
      <c r="A207" s="15">
        <f>IF(203&lt;=Calculadora!$C$9*12,203,"")</f>
        <v/>
      </c>
      <c r="B207" s="16">
        <f>IF(203&lt;=Calculadora!$C$9*12,Calculadora!$C$12,"")</f>
        <v/>
      </c>
      <c r="C207" s="16">
        <f>IF(203&lt;=Calculadora!$C$9*12,E206*Calculadora!$C$8/1200,"")</f>
        <v/>
      </c>
      <c r="D207" s="16">
        <f>IF(203&lt;=Calculadora!$C$9*12,B207-C207,"")</f>
        <v/>
      </c>
      <c r="E207" s="16">
        <f>IF(203&lt;=Calculadora!$C$9*12,E206-D207,"")</f>
        <v/>
      </c>
    </row>
    <row r="208">
      <c r="A208" s="15">
        <f>IF(204&lt;=Calculadora!$C$9*12,204,"")</f>
        <v/>
      </c>
      <c r="B208" s="16">
        <f>IF(204&lt;=Calculadora!$C$9*12,Calculadora!$C$12,"")</f>
        <v/>
      </c>
      <c r="C208" s="16">
        <f>IF(204&lt;=Calculadora!$C$9*12,E207*Calculadora!$C$8/1200,"")</f>
        <v/>
      </c>
      <c r="D208" s="16">
        <f>IF(204&lt;=Calculadora!$C$9*12,B208-C208,"")</f>
        <v/>
      </c>
      <c r="E208" s="16">
        <f>IF(204&lt;=Calculadora!$C$9*12,E207-D208,"")</f>
        <v/>
      </c>
    </row>
    <row r="209">
      <c r="A209" s="15">
        <f>IF(205&lt;=Calculadora!$C$9*12,205,"")</f>
        <v/>
      </c>
      <c r="B209" s="16">
        <f>IF(205&lt;=Calculadora!$C$9*12,Calculadora!$C$12,"")</f>
        <v/>
      </c>
      <c r="C209" s="16">
        <f>IF(205&lt;=Calculadora!$C$9*12,E208*Calculadora!$C$8/1200,"")</f>
        <v/>
      </c>
      <c r="D209" s="16">
        <f>IF(205&lt;=Calculadora!$C$9*12,B209-C209,"")</f>
        <v/>
      </c>
      <c r="E209" s="16">
        <f>IF(205&lt;=Calculadora!$C$9*12,E208-D209,"")</f>
        <v/>
      </c>
    </row>
    <row r="210">
      <c r="A210" s="15">
        <f>IF(206&lt;=Calculadora!$C$9*12,206,"")</f>
        <v/>
      </c>
      <c r="B210" s="16">
        <f>IF(206&lt;=Calculadora!$C$9*12,Calculadora!$C$12,"")</f>
        <v/>
      </c>
      <c r="C210" s="16">
        <f>IF(206&lt;=Calculadora!$C$9*12,E209*Calculadora!$C$8/1200,"")</f>
        <v/>
      </c>
      <c r="D210" s="16">
        <f>IF(206&lt;=Calculadora!$C$9*12,B210-C210,"")</f>
        <v/>
      </c>
      <c r="E210" s="16">
        <f>IF(206&lt;=Calculadora!$C$9*12,E209-D210,"")</f>
        <v/>
      </c>
    </row>
    <row r="211">
      <c r="A211" s="15">
        <f>IF(207&lt;=Calculadora!$C$9*12,207,"")</f>
        <v/>
      </c>
      <c r="B211" s="16">
        <f>IF(207&lt;=Calculadora!$C$9*12,Calculadora!$C$12,"")</f>
        <v/>
      </c>
      <c r="C211" s="16">
        <f>IF(207&lt;=Calculadora!$C$9*12,E210*Calculadora!$C$8/1200,"")</f>
        <v/>
      </c>
      <c r="D211" s="16">
        <f>IF(207&lt;=Calculadora!$C$9*12,B211-C211,"")</f>
        <v/>
      </c>
      <c r="E211" s="16">
        <f>IF(207&lt;=Calculadora!$C$9*12,E210-D211,"")</f>
        <v/>
      </c>
    </row>
    <row r="212">
      <c r="A212" s="15">
        <f>IF(208&lt;=Calculadora!$C$9*12,208,"")</f>
        <v/>
      </c>
      <c r="B212" s="16">
        <f>IF(208&lt;=Calculadora!$C$9*12,Calculadora!$C$12,"")</f>
        <v/>
      </c>
      <c r="C212" s="16">
        <f>IF(208&lt;=Calculadora!$C$9*12,E211*Calculadora!$C$8/1200,"")</f>
        <v/>
      </c>
      <c r="D212" s="16">
        <f>IF(208&lt;=Calculadora!$C$9*12,B212-C212,"")</f>
        <v/>
      </c>
      <c r="E212" s="16">
        <f>IF(208&lt;=Calculadora!$C$9*12,E211-D212,"")</f>
        <v/>
      </c>
    </row>
    <row r="213">
      <c r="A213" s="15">
        <f>IF(209&lt;=Calculadora!$C$9*12,209,"")</f>
        <v/>
      </c>
      <c r="B213" s="16">
        <f>IF(209&lt;=Calculadora!$C$9*12,Calculadora!$C$12,"")</f>
        <v/>
      </c>
      <c r="C213" s="16">
        <f>IF(209&lt;=Calculadora!$C$9*12,E212*Calculadora!$C$8/1200,"")</f>
        <v/>
      </c>
      <c r="D213" s="16">
        <f>IF(209&lt;=Calculadora!$C$9*12,B213-C213,"")</f>
        <v/>
      </c>
      <c r="E213" s="16">
        <f>IF(209&lt;=Calculadora!$C$9*12,E212-D213,"")</f>
        <v/>
      </c>
    </row>
    <row r="214">
      <c r="A214" s="15">
        <f>IF(210&lt;=Calculadora!$C$9*12,210,"")</f>
        <v/>
      </c>
      <c r="B214" s="16">
        <f>IF(210&lt;=Calculadora!$C$9*12,Calculadora!$C$12,"")</f>
        <v/>
      </c>
      <c r="C214" s="16">
        <f>IF(210&lt;=Calculadora!$C$9*12,E213*Calculadora!$C$8/1200,"")</f>
        <v/>
      </c>
      <c r="D214" s="16">
        <f>IF(210&lt;=Calculadora!$C$9*12,B214-C214,"")</f>
        <v/>
      </c>
      <c r="E214" s="16">
        <f>IF(210&lt;=Calculadora!$C$9*12,E213-D214,"")</f>
        <v/>
      </c>
    </row>
    <row r="215">
      <c r="A215" s="15">
        <f>IF(211&lt;=Calculadora!$C$9*12,211,"")</f>
        <v/>
      </c>
      <c r="B215" s="16">
        <f>IF(211&lt;=Calculadora!$C$9*12,Calculadora!$C$12,"")</f>
        <v/>
      </c>
      <c r="C215" s="16">
        <f>IF(211&lt;=Calculadora!$C$9*12,E214*Calculadora!$C$8/1200,"")</f>
        <v/>
      </c>
      <c r="D215" s="16">
        <f>IF(211&lt;=Calculadora!$C$9*12,B215-C215,"")</f>
        <v/>
      </c>
      <c r="E215" s="16">
        <f>IF(211&lt;=Calculadora!$C$9*12,E214-D215,"")</f>
        <v/>
      </c>
    </row>
    <row r="216">
      <c r="A216" s="15">
        <f>IF(212&lt;=Calculadora!$C$9*12,212,"")</f>
        <v/>
      </c>
      <c r="B216" s="16">
        <f>IF(212&lt;=Calculadora!$C$9*12,Calculadora!$C$12,"")</f>
        <v/>
      </c>
      <c r="C216" s="16">
        <f>IF(212&lt;=Calculadora!$C$9*12,E215*Calculadora!$C$8/1200,"")</f>
        <v/>
      </c>
      <c r="D216" s="16">
        <f>IF(212&lt;=Calculadora!$C$9*12,B216-C216,"")</f>
        <v/>
      </c>
      <c r="E216" s="16">
        <f>IF(212&lt;=Calculadora!$C$9*12,E215-D216,"")</f>
        <v/>
      </c>
    </row>
    <row r="217">
      <c r="A217" s="15">
        <f>IF(213&lt;=Calculadora!$C$9*12,213,"")</f>
        <v/>
      </c>
      <c r="B217" s="16">
        <f>IF(213&lt;=Calculadora!$C$9*12,Calculadora!$C$12,"")</f>
        <v/>
      </c>
      <c r="C217" s="16">
        <f>IF(213&lt;=Calculadora!$C$9*12,E216*Calculadora!$C$8/1200,"")</f>
        <v/>
      </c>
      <c r="D217" s="16">
        <f>IF(213&lt;=Calculadora!$C$9*12,B217-C217,"")</f>
        <v/>
      </c>
      <c r="E217" s="16">
        <f>IF(213&lt;=Calculadora!$C$9*12,E216-D217,"")</f>
        <v/>
      </c>
    </row>
    <row r="218">
      <c r="A218" s="15">
        <f>IF(214&lt;=Calculadora!$C$9*12,214,"")</f>
        <v/>
      </c>
      <c r="B218" s="16">
        <f>IF(214&lt;=Calculadora!$C$9*12,Calculadora!$C$12,"")</f>
        <v/>
      </c>
      <c r="C218" s="16">
        <f>IF(214&lt;=Calculadora!$C$9*12,E217*Calculadora!$C$8/1200,"")</f>
        <v/>
      </c>
      <c r="D218" s="16">
        <f>IF(214&lt;=Calculadora!$C$9*12,B218-C218,"")</f>
        <v/>
      </c>
      <c r="E218" s="16">
        <f>IF(214&lt;=Calculadora!$C$9*12,E217-D218,"")</f>
        <v/>
      </c>
    </row>
    <row r="219">
      <c r="A219" s="15">
        <f>IF(215&lt;=Calculadora!$C$9*12,215,"")</f>
        <v/>
      </c>
      <c r="B219" s="16">
        <f>IF(215&lt;=Calculadora!$C$9*12,Calculadora!$C$12,"")</f>
        <v/>
      </c>
      <c r="C219" s="16">
        <f>IF(215&lt;=Calculadora!$C$9*12,E218*Calculadora!$C$8/1200,"")</f>
        <v/>
      </c>
      <c r="D219" s="16">
        <f>IF(215&lt;=Calculadora!$C$9*12,B219-C219,"")</f>
        <v/>
      </c>
      <c r="E219" s="16">
        <f>IF(215&lt;=Calculadora!$C$9*12,E218-D219,"")</f>
        <v/>
      </c>
    </row>
    <row r="220">
      <c r="A220" s="15">
        <f>IF(216&lt;=Calculadora!$C$9*12,216,"")</f>
        <v/>
      </c>
      <c r="B220" s="16">
        <f>IF(216&lt;=Calculadora!$C$9*12,Calculadora!$C$12,"")</f>
        <v/>
      </c>
      <c r="C220" s="16">
        <f>IF(216&lt;=Calculadora!$C$9*12,E219*Calculadora!$C$8/1200,"")</f>
        <v/>
      </c>
      <c r="D220" s="16">
        <f>IF(216&lt;=Calculadora!$C$9*12,B220-C220,"")</f>
        <v/>
      </c>
      <c r="E220" s="16">
        <f>IF(216&lt;=Calculadora!$C$9*12,E219-D220,"")</f>
        <v/>
      </c>
    </row>
    <row r="221">
      <c r="A221" s="15">
        <f>IF(217&lt;=Calculadora!$C$9*12,217,"")</f>
        <v/>
      </c>
      <c r="B221" s="16">
        <f>IF(217&lt;=Calculadora!$C$9*12,Calculadora!$C$12,"")</f>
        <v/>
      </c>
      <c r="C221" s="16">
        <f>IF(217&lt;=Calculadora!$C$9*12,E220*Calculadora!$C$8/1200,"")</f>
        <v/>
      </c>
      <c r="D221" s="16">
        <f>IF(217&lt;=Calculadora!$C$9*12,B221-C221,"")</f>
        <v/>
      </c>
      <c r="E221" s="16">
        <f>IF(217&lt;=Calculadora!$C$9*12,E220-D221,"")</f>
        <v/>
      </c>
    </row>
    <row r="222">
      <c r="A222" s="15">
        <f>IF(218&lt;=Calculadora!$C$9*12,218,"")</f>
        <v/>
      </c>
      <c r="B222" s="16">
        <f>IF(218&lt;=Calculadora!$C$9*12,Calculadora!$C$12,"")</f>
        <v/>
      </c>
      <c r="C222" s="16">
        <f>IF(218&lt;=Calculadora!$C$9*12,E221*Calculadora!$C$8/1200,"")</f>
        <v/>
      </c>
      <c r="D222" s="16">
        <f>IF(218&lt;=Calculadora!$C$9*12,B222-C222,"")</f>
        <v/>
      </c>
      <c r="E222" s="16">
        <f>IF(218&lt;=Calculadora!$C$9*12,E221-D222,"")</f>
        <v/>
      </c>
    </row>
    <row r="223">
      <c r="A223" s="15">
        <f>IF(219&lt;=Calculadora!$C$9*12,219,"")</f>
        <v/>
      </c>
      <c r="B223" s="16">
        <f>IF(219&lt;=Calculadora!$C$9*12,Calculadora!$C$12,"")</f>
        <v/>
      </c>
      <c r="C223" s="16">
        <f>IF(219&lt;=Calculadora!$C$9*12,E222*Calculadora!$C$8/1200,"")</f>
        <v/>
      </c>
      <c r="D223" s="16">
        <f>IF(219&lt;=Calculadora!$C$9*12,B223-C223,"")</f>
        <v/>
      </c>
      <c r="E223" s="16">
        <f>IF(219&lt;=Calculadora!$C$9*12,E222-D223,"")</f>
        <v/>
      </c>
    </row>
    <row r="224">
      <c r="A224" s="15">
        <f>IF(220&lt;=Calculadora!$C$9*12,220,"")</f>
        <v/>
      </c>
      <c r="B224" s="16">
        <f>IF(220&lt;=Calculadora!$C$9*12,Calculadora!$C$12,"")</f>
        <v/>
      </c>
      <c r="C224" s="16">
        <f>IF(220&lt;=Calculadora!$C$9*12,E223*Calculadora!$C$8/1200,"")</f>
        <v/>
      </c>
      <c r="D224" s="16">
        <f>IF(220&lt;=Calculadora!$C$9*12,B224-C224,"")</f>
        <v/>
      </c>
      <c r="E224" s="16">
        <f>IF(220&lt;=Calculadora!$C$9*12,E223-D224,"")</f>
        <v/>
      </c>
    </row>
    <row r="225">
      <c r="A225" s="15">
        <f>IF(221&lt;=Calculadora!$C$9*12,221,"")</f>
        <v/>
      </c>
      <c r="B225" s="16">
        <f>IF(221&lt;=Calculadora!$C$9*12,Calculadora!$C$12,"")</f>
        <v/>
      </c>
      <c r="C225" s="16">
        <f>IF(221&lt;=Calculadora!$C$9*12,E224*Calculadora!$C$8/1200,"")</f>
        <v/>
      </c>
      <c r="D225" s="16">
        <f>IF(221&lt;=Calculadora!$C$9*12,B225-C225,"")</f>
        <v/>
      </c>
      <c r="E225" s="16">
        <f>IF(221&lt;=Calculadora!$C$9*12,E224-D225,"")</f>
        <v/>
      </c>
    </row>
    <row r="226">
      <c r="A226" s="15">
        <f>IF(222&lt;=Calculadora!$C$9*12,222,"")</f>
        <v/>
      </c>
      <c r="B226" s="16">
        <f>IF(222&lt;=Calculadora!$C$9*12,Calculadora!$C$12,"")</f>
        <v/>
      </c>
      <c r="C226" s="16">
        <f>IF(222&lt;=Calculadora!$C$9*12,E225*Calculadora!$C$8/1200,"")</f>
        <v/>
      </c>
      <c r="D226" s="16">
        <f>IF(222&lt;=Calculadora!$C$9*12,B226-C226,"")</f>
        <v/>
      </c>
      <c r="E226" s="16">
        <f>IF(222&lt;=Calculadora!$C$9*12,E225-D226,"")</f>
        <v/>
      </c>
    </row>
    <row r="227">
      <c r="A227" s="15">
        <f>IF(223&lt;=Calculadora!$C$9*12,223,"")</f>
        <v/>
      </c>
      <c r="B227" s="16">
        <f>IF(223&lt;=Calculadora!$C$9*12,Calculadora!$C$12,"")</f>
        <v/>
      </c>
      <c r="C227" s="16">
        <f>IF(223&lt;=Calculadora!$C$9*12,E226*Calculadora!$C$8/1200,"")</f>
        <v/>
      </c>
      <c r="D227" s="16">
        <f>IF(223&lt;=Calculadora!$C$9*12,B227-C227,"")</f>
        <v/>
      </c>
      <c r="E227" s="16">
        <f>IF(223&lt;=Calculadora!$C$9*12,E226-D227,"")</f>
        <v/>
      </c>
    </row>
    <row r="228">
      <c r="A228" s="15">
        <f>IF(224&lt;=Calculadora!$C$9*12,224,"")</f>
        <v/>
      </c>
      <c r="B228" s="16">
        <f>IF(224&lt;=Calculadora!$C$9*12,Calculadora!$C$12,"")</f>
        <v/>
      </c>
      <c r="C228" s="16">
        <f>IF(224&lt;=Calculadora!$C$9*12,E227*Calculadora!$C$8/1200,"")</f>
        <v/>
      </c>
      <c r="D228" s="16">
        <f>IF(224&lt;=Calculadora!$C$9*12,B228-C228,"")</f>
        <v/>
      </c>
      <c r="E228" s="16">
        <f>IF(224&lt;=Calculadora!$C$9*12,E227-D228,"")</f>
        <v/>
      </c>
    </row>
    <row r="229">
      <c r="A229" s="15">
        <f>IF(225&lt;=Calculadora!$C$9*12,225,"")</f>
        <v/>
      </c>
      <c r="B229" s="16">
        <f>IF(225&lt;=Calculadora!$C$9*12,Calculadora!$C$12,"")</f>
        <v/>
      </c>
      <c r="C229" s="16">
        <f>IF(225&lt;=Calculadora!$C$9*12,E228*Calculadora!$C$8/1200,"")</f>
        <v/>
      </c>
      <c r="D229" s="16">
        <f>IF(225&lt;=Calculadora!$C$9*12,B229-C229,"")</f>
        <v/>
      </c>
      <c r="E229" s="16">
        <f>IF(225&lt;=Calculadora!$C$9*12,E228-D229,"")</f>
        <v/>
      </c>
    </row>
    <row r="230">
      <c r="A230" s="15">
        <f>IF(226&lt;=Calculadora!$C$9*12,226,"")</f>
        <v/>
      </c>
      <c r="B230" s="16">
        <f>IF(226&lt;=Calculadora!$C$9*12,Calculadora!$C$12,"")</f>
        <v/>
      </c>
      <c r="C230" s="16">
        <f>IF(226&lt;=Calculadora!$C$9*12,E229*Calculadora!$C$8/1200,"")</f>
        <v/>
      </c>
      <c r="D230" s="16">
        <f>IF(226&lt;=Calculadora!$C$9*12,B230-C230,"")</f>
        <v/>
      </c>
      <c r="E230" s="16">
        <f>IF(226&lt;=Calculadora!$C$9*12,E229-D230,"")</f>
        <v/>
      </c>
    </row>
    <row r="231">
      <c r="A231" s="15">
        <f>IF(227&lt;=Calculadora!$C$9*12,227,"")</f>
        <v/>
      </c>
      <c r="B231" s="16">
        <f>IF(227&lt;=Calculadora!$C$9*12,Calculadora!$C$12,"")</f>
        <v/>
      </c>
      <c r="C231" s="16">
        <f>IF(227&lt;=Calculadora!$C$9*12,E230*Calculadora!$C$8/1200,"")</f>
        <v/>
      </c>
      <c r="D231" s="16">
        <f>IF(227&lt;=Calculadora!$C$9*12,B231-C231,"")</f>
        <v/>
      </c>
      <c r="E231" s="16">
        <f>IF(227&lt;=Calculadora!$C$9*12,E230-D231,"")</f>
        <v/>
      </c>
    </row>
    <row r="232">
      <c r="A232" s="15">
        <f>IF(228&lt;=Calculadora!$C$9*12,228,"")</f>
        <v/>
      </c>
      <c r="B232" s="16">
        <f>IF(228&lt;=Calculadora!$C$9*12,Calculadora!$C$12,"")</f>
        <v/>
      </c>
      <c r="C232" s="16">
        <f>IF(228&lt;=Calculadora!$C$9*12,E231*Calculadora!$C$8/1200,"")</f>
        <v/>
      </c>
      <c r="D232" s="16">
        <f>IF(228&lt;=Calculadora!$C$9*12,B232-C232,"")</f>
        <v/>
      </c>
      <c r="E232" s="16">
        <f>IF(228&lt;=Calculadora!$C$9*12,E231-D232,"")</f>
        <v/>
      </c>
    </row>
    <row r="233">
      <c r="A233" s="15">
        <f>IF(229&lt;=Calculadora!$C$9*12,229,"")</f>
        <v/>
      </c>
      <c r="B233" s="16">
        <f>IF(229&lt;=Calculadora!$C$9*12,Calculadora!$C$12,"")</f>
        <v/>
      </c>
      <c r="C233" s="16">
        <f>IF(229&lt;=Calculadora!$C$9*12,E232*Calculadora!$C$8/1200,"")</f>
        <v/>
      </c>
      <c r="D233" s="16">
        <f>IF(229&lt;=Calculadora!$C$9*12,B233-C233,"")</f>
        <v/>
      </c>
      <c r="E233" s="16">
        <f>IF(229&lt;=Calculadora!$C$9*12,E232-D233,"")</f>
        <v/>
      </c>
    </row>
    <row r="234">
      <c r="A234" s="15">
        <f>IF(230&lt;=Calculadora!$C$9*12,230,"")</f>
        <v/>
      </c>
      <c r="B234" s="16">
        <f>IF(230&lt;=Calculadora!$C$9*12,Calculadora!$C$12,"")</f>
        <v/>
      </c>
      <c r="C234" s="16">
        <f>IF(230&lt;=Calculadora!$C$9*12,E233*Calculadora!$C$8/1200,"")</f>
        <v/>
      </c>
      <c r="D234" s="16">
        <f>IF(230&lt;=Calculadora!$C$9*12,B234-C234,"")</f>
        <v/>
      </c>
      <c r="E234" s="16">
        <f>IF(230&lt;=Calculadora!$C$9*12,E233-D234,"")</f>
        <v/>
      </c>
    </row>
    <row r="235">
      <c r="A235" s="15">
        <f>IF(231&lt;=Calculadora!$C$9*12,231,"")</f>
        <v/>
      </c>
      <c r="B235" s="16">
        <f>IF(231&lt;=Calculadora!$C$9*12,Calculadora!$C$12,"")</f>
        <v/>
      </c>
      <c r="C235" s="16">
        <f>IF(231&lt;=Calculadora!$C$9*12,E234*Calculadora!$C$8/1200,"")</f>
        <v/>
      </c>
      <c r="D235" s="16">
        <f>IF(231&lt;=Calculadora!$C$9*12,B235-C235,"")</f>
        <v/>
      </c>
      <c r="E235" s="16">
        <f>IF(231&lt;=Calculadora!$C$9*12,E234-D235,"")</f>
        <v/>
      </c>
    </row>
    <row r="236">
      <c r="A236" s="15">
        <f>IF(232&lt;=Calculadora!$C$9*12,232,"")</f>
        <v/>
      </c>
      <c r="B236" s="16">
        <f>IF(232&lt;=Calculadora!$C$9*12,Calculadora!$C$12,"")</f>
        <v/>
      </c>
      <c r="C236" s="16">
        <f>IF(232&lt;=Calculadora!$C$9*12,E235*Calculadora!$C$8/1200,"")</f>
        <v/>
      </c>
      <c r="D236" s="16">
        <f>IF(232&lt;=Calculadora!$C$9*12,B236-C236,"")</f>
        <v/>
      </c>
      <c r="E236" s="16">
        <f>IF(232&lt;=Calculadora!$C$9*12,E235-D236,"")</f>
        <v/>
      </c>
    </row>
    <row r="237">
      <c r="A237" s="15">
        <f>IF(233&lt;=Calculadora!$C$9*12,233,"")</f>
        <v/>
      </c>
      <c r="B237" s="16">
        <f>IF(233&lt;=Calculadora!$C$9*12,Calculadora!$C$12,"")</f>
        <v/>
      </c>
      <c r="C237" s="16">
        <f>IF(233&lt;=Calculadora!$C$9*12,E236*Calculadora!$C$8/1200,"")</f>
        <v/>
      </c>
      <c r="D237" s="16">
        <f>IF(233&lt;=Calculadora!$C$9*12,B237-C237,"")</f>
        <v/>
      </c>
      <c r="E237" s="16">
        <f>IF(233&lt;=Calculadora!$C$9*12,E236-D237,"")</f>
        <v/>
      </c>
    </row>
    <row r="238">
      <c r="A238" s="15">
        <f>IF(234&lt;=Calculadora!$C$9*12,234,"")</f>
        <v/>
      </c>
      <c r="B238" s="16">
        <f>IF(234&lt;=Calculadora!$C$9*12,Calculadora!$C$12,"")</f>
        <v/>
      </c>
      <c r="C238" s="16">
        <f>IF(234&lt;=Calculadora!$C$9*12,E237*Calculadora!$C$8/1200,"")</f>
        <v/>
      </c>
      <c r="D238" s="16">
        <f>IF(234&lt;=Calculadora!$C$9*12,B238-C238,"")</f>
        <v/>
      </c>
      <c r="E238" s="16">
        <f>IF(234&lt;=Calculadora!$C$9*12,E237-D238,"")</f>
        <v/>
      </c>
    </row>
    <row r="239">
      <c r="A239" s="15">
        <f>IF(235&lt;=Calculadora!$C$9*12,235,"")</f>
        <v/>
      </c>
      <c r="B239" s="16">
        <f>IF(235&lt;=Calculadora!$C$9*12,Calculadora!$C$12,"")</f>
        <v/>
      </c>
      <c r="C239" s="16">
        <f>IF(235&lt;=Calculadora!$C$9*12,E238*Calculadora!$C$8/1200,"")</f>
        <v/>
      </c>
      <c r="D239" s="16">
        <f>IF(235&lt;=Calculadora!$C$9*12,B239-C239,"")</f>
        <v/>
      </c>
      <c r="E239" s="16">
        <f>IF(235&lt;=Calculadora!$C$9*12,E238-D239,"")</f>
        <v/>
      </c>
    </row>
    <row r="240">
      <c r="A240" s="15">
        <f>IF(236&lt;=Calculadora!$C$9*12,236,"")</f>
        <v/>
      </c>
      <c r="B240" s="16">
        <f>IF(236&lt;=Calculadora!$C$9*12,Calculadora!$C$12,"")</f>
        <v/>
      </c>
      <c r="C240" s="16">
        <f>IF(236&lt;=Calculadora!$C$9*12,E239*Calculadora!$C$8/1200,"")</f>
        <v/>
      </c>
      <c r="D240" s="16">
        <f>IF(236&lt;=Calculadora!$C$9*12,B240-C240,"")</f>
        <v/>
      </c>
      <c r="E240" s="16">
        <f>IF(236&lt;=Calculadora!$C$9*12,E239-D240,"")</f>
        <v/>
      </c>
    </row>
    <row r="241">
      <c r="A241" s="15">
        <f>IF(237&lt;=Calculadora!$C$9*12,237,"")</f>
        <v/>
      </c>
      <c r="B241" s="16">
        <f>IF(237&lt;=Calculadora!$C$9*12,Calculadora!$C$12,"")</f>
        <v/>
      </c>
      <c r="C241" s="16">
        <f>IF(237&lt;=Calculadora!$C$9*12,E240*Calculadora!$C$8/1200,"")</f>
        <v/>
      </c>
      <c r="D241" s="16">
        <f>IF(237&lt;=Calculadora!$C$9*12,B241-C241,"")</f>
        <v/>
      </c>
      <c r="E241" s="16">
        <f>IF(237&lt;=Calculadora!$C$9*12,E240-D241,"")</f>
        <v/>
      </c>
    </row>
    <row r="242">
      <c r="A242" s="15">
        <f>IF(238&lt;=Calculadora!$C$9*12,238,"")</f>
        <v/>
      </c>
      <c r="B242" s="16">
        <f>IF(238&lt;=Calculadora!$C$9*12,Calculadora!$C$12,"")</f>
        <v/>
      </c>
      <c r="C242" s="16">
        <f>IF(238&lt;=Calculadora!$C$9*12,E241*Calculadora!$C$8/1200,"")</f>
        <v/>
      </c>
      <c r="D242" s="16">
        <f>IF(238&lt;=Calculadora!$C$9*12,B242-C242,"")</f>
        <v/>
      </c>
      <c r="E242" s="16">
        <f>IF(238&lt;=Calculadora!$C$9*12,E241-D242,"")</f>
        <v/>
      </c>
    </row>
    <row r="243">
      <c r="A243" s="15">
        <f>IF(239&lt;=Calculadora!$C$9*12,239,"")</f>
        <v/>
      </c>
      <c r="B243" s="16">
        <f>IF(239&lt;=Calculadora!$C$9*12,Calculadora!$C$12,"")</f>
        <v/>
      </c>
      <c r="C243" s="16">
        <f>IF(239&lt;=Calculadora!$C$9*12,E242*Calculadora!$C$8/1200,"")</f>
        <v/>
      </c>
      <c r="D243" s="16">
        <f>IF(239&lt;=Calculadora!$C$9*12,B243-C243,"")</f>
        <v/>
      </c>
      <c r="E243" s="16">
        <f>IF(239&lt;=Calculadora!$C$9*12,E242-D243,"")</f>
        <v/>
      </c>
    </row>
    <row r="244">
      <c r="A244" s="15">
        <f>IF(240&lt;=Calculadora!$C$9*12,240,"")</f>
        <v/>
      </c>
      <c r="B244" s="16">
        <f>IF(240&lt;=Calculadora!$C$9*12,Calculadora!$C$12,"")</f>
        <v/>
      </c>
      <c r="C244" s="16">
        <f>IF(240&lt;=Calculadora!$C$9*12,E243*Calculadora!$C$8/1200,"")</f>
        <v/>
      </c>
      <c r="D244" s="16">
        <f>IF(240&lt;=Calculadora!$C$9*12,B244-C244,"")</f>
        <v/>
      </c>
      <c r="E244" s="16">
        <f>IF(240&lt;=Calculadora!$C$9*12,E243-D244,"")</f>
        <v/>
      </c>
    </row>
    <row r="245">
      <c r="A245" s="15">
        <f>IF(241&lt;=Calculadora!$C$9*12,241,"")</f>
        <v/>
      </c>
      <c r="B245" s="16">
        <f>IF(241&lt;=Calculadora!$C$9*12,Calculadora!$C$12,"")</f>
        <v/>
      </c>
      <c r="C245" s="16">
        <f>IF(241&lt;=Calculadora!$C$9*12,E244*Calculadora!$C$8/1200,"")</f>
        <v/>
      </c>
      <c r="D245" s="16">
        <f>IF(241&lt;=Calculadora!$C$9*12,B245-C245,"")</f>
        <v/>
      </c>
      <c r="E245" s="16">
        <f>IF(241&lt;=Calculadora!$C$9*12,E244-D245,"")</f>
        <v/>
      </c>
    </row>
    <row r="246">
      <c r="A246" s="15">
        <f>IF(242&lt;=Calculadora!$C$9*12,242,"")</f>
        <v/>
      </c>
      <c r="B246" s="16">
        <f>IF(242&lt;=Calculadora!$C$9*12,Calculadora!$C$12,"")</f>
        <v/>
      </c>
      <c r="C246" s="16">
        <f>IF(242&lt;=Calculadora!$C$9*12,E245*Calculadora!$C$8/1200,"")</f>
        <v/>
      </c>
      <c r="D246" s="16">
        <f>IF(242&lt;=Calculadora!$C$9*12,B246-C246,"")</f>
        <v/>
      </c>
      <c r="E246" s="16">
        <f>IF(242&lt;=Calculadora!$C$9*12,E245-D246,"")</f>
        <v/>
      </c>
    </row>
    <row r="247">
      <c r="A247" s="15">
        <f>IF(243&lt;=Calculadora!$C$9*12,243,"")</f>
        <v/>
      </c>
      <c r="B247" s="16">
        <f>IF(243&lt;=Calculadora!$C$9*12,Calculadora!$C$12,"")</f>
        <v/>
      </c>
      <c r="C247" s="16">
        <f>IF(243&lt;=Calculadora!$C$9*12,E246*Calculadora!$C$8/1200,"")</f>
        <v/>
      </c>
      <c r="D247" s="16">
        <f>IF(243&lt;=Calculadora!$C$9*12,B247-C247,"")</f>
        <v/>
      </c>
      <c r="E247" s="16">
        <f>IF(243&lt;=Calculadora!$C$9*12,E246-D247,"")</f>
        <v/>
      </c>
    </row>
    <row r="248">
      <c r="A248" s="15">
        <f>IF(244&lt;=Calculadora!$C$9*12,244,"")</f>
        <v/>
      </c>
      <c r="B248" s="16">
        <f>IF(244&lt;=Calculadora!$C$9*12,Calculadora!$C$12,"")</f>
        <v/>
      </c>
      <c r="C248" s="16">
        <f>IF(244&lt;=Calculadora!$C$9*12,E247*Calculadora!$C$8/1200,"")</f>
        <v/>
      </c>
      <c r="D248" s="16">
        <f>IF(244&lt;=Calculadora!$C$9*12,B248-C248,"")</f>
        <v/>
      </c>
      <c r="E248" s="16">
        <f>IF(244&lt;=Calculadora!$C$9*12,E247-D248,"")</f>
        <v/>
      </c>
    </row>
    <row r="249">
      <c r="A249" s="15">
        <f>IF(245&lt;=Calculadora!$C$9*12,245,"")</f>
        <v/>
      </c>
      <c r="B249" s="16">
        <f>IF(245&lt;=Calculadora!$C$9*12,Calculadora!$C$12,"")</f>
        <v/>
      </c>
      <c r="C249" s="16">
        <f>IF(245&lt;=Calculadora!$C$9*12,E248*Calculadora!$C$8/1200,"")</f>
        <v/>
      </c>
      <c r="D249" s="16">
        <f>IF(245&lt;=Calculadora!$C$9*12,B249-C249,"")</f>
        <v/>
      </c>
      <c r="E249" s="16">
        <f>IF(245&lt;=Calculadora!$C$9*12,E248-D249,"")</f>
        <v/>
      </c>
    </row>
    <row r="250">
      <c r="A250" s="15">
        <f>IF(246&lt;=Calculadora!$C$9*12,246,"")</f>
        <v/>
      </c>
      <c r="B250" s="16">
        <f>IF(246&lt;=Calculadora!$C$9*12,Calculadora!$C$12,"")</f>
        <v/>
      </c>
      <c r="C250" s="16">
        <f>IF(246&lt;=Calculadora!$C$9*12,E249*Calculadora!$C$8/1200,"")</f>
        <v/>
      </c>
      <c r="D250" s="16">
        <f>IF(246&lt;=Calculadora!$C$9*12,B250-C250,"")</f>
        <v/>
      </c>
      <c r="E250" s="16">
        <f>IF(246&lt;=Calculadora!$C$9*12,E249-D250,"")</f>
        <v/>
      </c>
    </row>
    <row r="251">
      <c r="A251" s="15">
        <f>IF(247&lt;=Calculadora!$C$9*12,247,"")</f>
        <v/>
      </c>
      <c r="B251" s="16">
        <f>IF(247&lt;=Calculadora!$C$9*12,Calculadora!$C$12,"")</f>
        <v/>
      </c>
      <c r="C251" s="16">
        <f>IF(247&lt;=Calculadora!$C$9*12,E250*Calculadora!$C$8/1200,"")</f>
        <v/>
      </c>
      <c r="D251" s="16">
        <f>IF(247&lt;=Calculadora!$C$9*12,B251-C251,"")</f>
        <v/>
      </c>
      <c r="E251" s="16">
        <f>IF(247&lt;=Calculadora!$C$9*12,E250-D251,"")</f>
        <v/>
      </c>
    </row>
    <row r="252">
      <c r="A252" s="15">
        <f>IF(248&lt;=Calculadora!$C$9*12,248,"")</f>
        <v/>
      </c>
      <c r="B252" s="16">
        <f>IF(248&lt;=Calculadora!$C$9*12,Calculadora!$C$12,"")</f>
        <v/>
      </c>
      <c r="C252" s="16">
        <f>IF(248&lt;=Calculadora!$C$9*12,E251*Calculadora!$C$8/1200,"")</f>
        <v/>
      </c>
      <c r="D252" s="16">
        <f>IF(248&lt;=Calculadora!$C$9*12,B252-C252,"")</f>
        <v/>
      </c>
      <c r="E252" s="16">
        <f>IF(248&lt;=Calculadora!$C$9*12,E251-D252,"")</f>
        <v/>
      </c>
    </row>
    <row r="253">
      <c r="A253" s="15">
        <f>IF(249&lt;=Calculadora!$C$9*12,249,"")</f>
        <v/>
      </c>
      <c r="B253" s="16">
        <f>IF(249&lt;=Calculadora!$C$9*12,Calculadora!$C$12,"")</f>
        <v/>
      </c>
      <c r="C253" s="16">
        <f>IF(249&lt;=Calculadora!$C$9*12,E252*Calculadora!$C$8/1200,"")</f>
        <v/>
      </c>
      <c r="D253" s="16">
        <f>IF(249&lt;=Calculadora!$C$9*12,B253-C253,"")</f>
        <v/>
      </c>
      <c r="E253" s="16">
        <f>IF(249&lt;=Calculadora!$C$9*12,E252-D253,"")</f>
        <v/>
      </c>
    </row>
    <row r="254">
      <c r="A254" s="15">
        <f>IF(250&lt;=Calculadora!$C$9*12,250,"")</f>
        <v/>
      </c>
      <c r="B254" s="16">
        <f>IF(250&lt;=Calculadora!$C$9*12,Calculadora!$C$12,"")</f>
        <v/>
      </c>
      <c r="C254" s="16">
        <f>IF(250&lt;=Calculadora!$C$9*12,E253*Calculadora!$C$8/1200,"")</f>
        <v/>
      </c>
      <c r="D254" s="16">
        <f>IF(250&lt;=Calculadora!$C$9*12,B254-C254,"")</f>
        <v/>
      </c>
      <c r="E254" s="16">
        <f>IF(250&lt;=Calculadora!$C$9*12,E253-D254,"")</f>
        <v/>
      </c>
    </row>
    <row r="255">
      <c r="A255" s="15">
        <f>IF(251&lt;=Calculadora!$C$9*12,251,"")</f>
        <v/>
      </c>
      <c r="B255" s="16">
        <f>IF(251&lt;=Calculadora!$C$9*12,Calculadora!$C$12,"")</f>
        <v/>
      </c>
      <c r="C255" s="16">
        <f>IF(251&lt;=Calculadora!$C$9*12,E254*Calculadora!$C$8/1200,"")</f>
        <v/>
      </c>
      <c r="D255" s="16">
        <f>IF(251&lt;=Calculadora!$C$9*12,B255-C255,"")</f>
        <v/>
      </c>
      <c r="E255" s="16">
        <f>IF(251&lt;=Calculadora!$C$9*12,E254-D255,"")</f>
        <v/>
      </c>
    </row>
    <row r="256">
      <c r="A256" s="15">
        <f>IF(252&lt;=Calculadora!$C$9*12,252,"")</f>
        <v/>
      </c>
      <c r="B256" s="16">
        <f>IF(252&lt;=Calculadora!$C$9*12,Calculadora!$C$12,"")</f>
        <v/>
      </c>
      <c r="C256" s="16">
        <f>IF(252&lt;=Calculadora!$C$9*12,E255*Calculadora!$C$8/1200,"")</f>
        <v/>
      </c>
      <c r="D256" s="16">
        <f>IF(252&lt;=Calculadora!$C$9*12,B256-C256,"")</f>
        <v/>
      </c>
      <c r="E256" s="16">
        <f>IF(252&lt;=Calculadora!$C$9*12,E255-D256,"")</f>
        <v/>
      </c>
    </row>
    <row r="257">
      <c r="A257" s="15">
        <f>IF(253&lt;=Calculadora!$C$9*12,253,"")</f>
        <v/>
      </c>
      <c r="B257" s="16">
        <f>IF(253&lt;=Calculadora!$C$9*12,Calculadora!$C$12,"")</f>
        <v/>
      </c>
      <c r="C257" s="16">
        <f>IF(253&lt;=Calculadora!$C$9*12,E256*Calculadora!$C$8/1200,"")</f>
        <v/>
      </c>
      <c r="D257" s="16">
        <f>IF(253&lt;=Calculadora!$C$9*12,B257-C257,"")</f>
        <v/>
      </c>
      <c r="E257" s="16">
        <f>IF(253&lt;=Calculadora!$C$9*12,E256-D257,"")</f>
        <v/>
      </c>
    </row>
    <row r="258">
      <c r="A258" s="15">
        <f>IF(254&lt;=Calculadora!$C$9*12,254,"")</f>
        <v/>
      </c>
      <c r="B258" s="16">
        <f>IF(254&lt;=Calculadora!$C$9*12,Calculadora!$C$12,"")</f>
        <v/>
      </c>
      <c r="C258" s="16">
        <f>IF(254&lt;=Calculadora!$C$9*12,E257*Calculadora!$C$8/1200,"")</f>
        <v/>
      </c>
      <c r="D258" s="16">
        <f>IF(254&lt;=Calculadora!$C$9*12,B258-C258,"")</f>
        <v/>
      </c>
      <c r="E258" s="16">
        <f>IF(254&lt;=Calculadora!$C$9*12,E257-D258,"")</f>
        <v/>
      </c>
    </row>
    <row r="259">
      <c r="A259" s="15">
        <f>IF(255&lt;=Calculadora!$C$9*12,255,"")</f>
        <v/>
      </c>
      <c r="B259" s="16">
        <f>IF(255&lt;=Calculadora!$C$9*12,Calculadora!$C$12,"")</f>
        <v/>
      </c>
      <c r="C259" s="16">
        <f>IF(255&lt;=Calculadora!$C$9*12,E258*Calculadora!$C$8/1200,"")</f>
        <v/>
      </c>
      <c r="D259" s="16">
        <f>IF(255&lt;=Calculadora!$C$9*12,B259-C259,"")</f>
        <v/>
      </c>
      <c r="E259" s="16">
        <f>IF(255&lt;=Calculadora!$C$9*12,E258-D259,"")</f>
        <v/>
      </c>
    </row>
    <row r="260">
      <c r="A260" s="15">
        <f>IF(256&lt;=Calculadora!$C$9*12,256,"")</f>
        <v/>
      </c>
      <c r="B260" s="16">
        <f>IF(256&lt;=Calculadora!$C$9*12,Calculadora!$C$12,"")</f>
        <v/>
      </c>
      <c r="C260" s="16">
        <f>IF(256&lt;=Calculadora!$C$9*12,E259*Calculadora!$C$8/1200,"")</f>
        <v/>
      </c>
      <c r="D260" s="16">
        <f>IF(256&lt;=Calculadora!$C$9*12,B260-C260,"")</f>
        <v/>
      </c>
      <c r="E260" s="16">
        <f>IF(256&lt;=Calculadora!$C$9*12,E259-D260,"")</f>
        <v/>
      </c>
    </row>
    <row r="261">
      <c r="A261" s="15">
        <f>IF(257&lt;=Calculadora!$C$9*12,257,"")</f>
        <v/>
      </c>
      <c r="B261" s="16">
        <f>IF(257&lt;=Calculadora!$C$9*12,Calculadora!$C$12,"")</f>
        <v/>
      </c>
      <c r="C261" s="16">
        <f>IF(257&lt;=Calculadora!$C$9*12,E260*Calculadora!$C$8/1200,"")</f>
        <v/>
      </c>
      <c r="D261" s="16">
        <f>IF(257&lt;=Calculadora!$C$9*12,B261-C261,"")</f>
        <v/>
      </c>
      <c r="E261" s="16">
        <f>IF(257&lt;=Calculadora!$C$9*12,E260-D261,"")</f>
        <v/>
      </c>
    </row>
    <row r="262">
      <c r="A262" s="15">
        <f>IF(258&lt;=Calculadora!$C$9*12,258,"")</f>
        <v/>
      </c>
      <c r="B262" s="16">
        <f>IF(258&lt;=Calculadora!$C$9*12,Calculadora!$C$12,"")</f>
        <v/>
      </c>
      <c r="C262" s="16">
        <f>IF(258&lt;=Calculadora!$C$9*12,E261*Calculadora!$C$8/1200,"")</f>
        <v/>
      </c>
      <c r="D262" s="16">
        <f>IF(258&lt;=Calculadora!$C$9*12,B262-C262,"")</f>
        <v/>
      </c>
      <c r="E262" s="16">
        <f>IF(258&lt;=Calculadora!$C$9*12,E261-D262,"")</f>
        <v/>
      </c>
    </row>
    <row r="263">
      <c r="A263" s="15">
        <f>IF(259&lt;=Calculadora!$C$9*12,259,"")</f>
        <v/>
      </c>
      <c r="B263" s="16">
        <f>IF(259&lt;=Calculadora!$C$9*12,Calculadora!$C$12,"")</f>
        <v/>
      </c>
      <c r="C263" s="16">
        <f>IF(259&lt;=Calculadora!$C$9*12,E262*Calculadora!$C$8/1200,"")</f>
        <v/>
      </c>
      <c r="D263" s="16">
        <f>IF(259&lt;=Calculadora!$C$9*12,B263-C263,"")</f>
        <v/>
      </c>
      <c r="E263" s="16">
        <f>IF(259&lt;=Calculadora!$C$9*12,E262-D263,"")</f>
        <v/>
      </c>
    </row>
    <row r="264">
      <c r="A264" s="15">
        <f>IF(260&lt;=Calculadora!$C$9*12,260,"")</f>
        <v/>
      </c>
      <c r="B264" s="16">
        <f>IF(260&lt;=Calculadora!$C$9*12,Calculadora!$C$12,"")</f>
        <v/>
      </c>
      <c r="C264" s="16">
        <f>IF(260&lt;=Calculadora!$C$9*12,E263*Calculadora!$C$8/1200,"")</f>
        <v/>
      </c>
      <c r="D264" s="16">
        <f>IF(260&lt;=Calculadora!$C$9*12,B264-C264,"")</f>
        <v/>
      </c>
      <c r="E264" s="16">
        <f>IF(260&lt;=Calculadora!$C$9*12,E263-D264,"")</f>
        <v/>
      </c>
    </row>
    <row r="265">
      <c r="A265" s="15">
        <f>IF(261&lt;=Calculadora!$C$9*12,261,"")</f>
        <v/>
      </c>
      <c r="B265" s="16">
        <f>IF(261&lt;=Calculadora!$C$9*12,Calculadora!$C$12,"")</f>
        <v/>
      </c>
      <c r="C265" s="16">
        <f>IF(261&lt;=Calculadora!$C$9*12,E264*Calculadora!$C$8/1200,"")</f>
        <v/>
      </c>
      <c r="D265" s="16">
        <f>IF(261&lt;=Calculadora!$C$9*12,B265-C265,"")</f>
        <v/>
      </c>
      <c r="E265" s="16">
        <f>IF(261&lt;=Calculadora!$C$9*12,E264-D265,"")</f>
        <v/>
      </c>
    </row>
    <row r="266">
      <c r="A266" s="15">
        <f>IF(262&lt;=Calculadora!$C$9*12,262,"")</f>
        <v/>
      </c>
      <c r="B266" s="16">
        <f>IF(262&lt;=Calculadora!$C$9*12,Calculadora!$C$12,"")</f>
        <v/>
      </c>
      <c r="C266" s="16">
        <f>IF(262&lt;=Calculadora!$C$9*12,E265*Calculadora!$C$8/1200,"")</f>
        <v/>
      </c>
      <c r="D266" s="16">
        <f>IF(262&lt;=Calculadora!$C$9*12,B266-C266,"")</f>
        <v/>
      </c>
      <c r="E266" s="16">
        <f>IF(262&lt;=Calculadora!$C$9*12,E265-D266,"")</f>
        <v/>
      </c>
    </row>
    <row r="267">
      <c r="A267" s="15">
        <f>IF(263&lt;=Calculadora!$C$9*12,263,"")</f>
        <v/>
      </c>
      <c r="B267" s="16">
        <f>IF(263&lt;=Calculadora!$C$9*12,Calculadora!$C$12,"")</f>
        <v/>
      </c>
      <c r="C267" s="16">
        <f>IF(263&lt;=Calculadora!$C$9*12,E266*Calculadora!$C$8/1200,"")</f>
        <v/>
      </c>
      <c r="D267" s="16">
        <f>IF(263&lt;=Calculadora!$C$9*12,B267-C267,"")</f>
        <v/>
      </c>
      <c r="E267" s="16">
        <f>IF(263&lt;=Calculadora!$C$9*12,E266-D267,"")</f>
        <v/>
      </c>
    </row>
    <row r="268">
      <c r="A268" s="15">
        <f>IF(264&lt;=Calculadora!$C$9*12,264,"")</f>
        <v/>
      </c>
      <c r="B268" s="16">
        <f>IF(264&lt;=Calculadora!$C$9*12,Calculadora!$C$12,"")</f>
        <v/>
      </c>
      <c r="C268" s="16">
        <f>IF(264&lt;=Calculadora!$C$9*12,E267*Calculadora!$C$8/1200,"")</f>
        <v/>
      </c>
      <c r="D268" s="16">
        <f>IF(264&lt;=Calculadora!$C$9*12,B268-C268,"")</f>
        <v/>
      </c>
      <c r="E268" s="16">
        <f>IF(264&lt;=Calculadora!$C$9*12,E267-D268,"")</f>
        <v/>
      </c>
    </row>
    <row r="269">
      <c r="A269" s="15">
        <f>IF(265&lt;=Calculadora!$C$9*12,265,"")</f>
        <v/>
      </c>
      <c r="B269" s="16">
        <f>IF(265&lt;=Calculadora!$C$9*12,Calculadora!$C$12,"")</f>
        <v/>
      </c>
      <c r="C269" s="16">
        <f>IF(265&lt;=Calculadora!$C$9*12,E268*Calculadora!$C$8/1200,"")</f>
        <v/>
      </c>
      <c r="D269" s="16">
        <f>IF(265&lt;=Calculadora!$C$9*12,B269-C269,"")</f>
        <v/>
      </c>
      <c r="E269" s="16">
        <f>IF(265&lt;=Calculadora!$C$9*12,E268-D269,"")</f>
        <v/>
      </c>
    </row>
    <row r="270">
      <c r="A270" s="15">
        <f>IF(266&lt;=Calculadora!$C$9*12,266,"")</f>
        <v/>
      </c>
      <c r="B270" s="16">
        <f>IF(266&lt;=Calculadora!$C$9*12,Calculadora!$C$12,"")</f>
        <v/>
      </c>
      <c r="C270" s="16">
        <f>IF(266&lt;=Calculadora!$C$9*12,E269*Calculadora!$C$8/1200,"")</f>
        <v/>
      </c>
      <c r="D270" s="16">
        <f>IF(266&lt;=Calculadora!$C$9*12,B270-C270,"")</f>
        <v/>
      </c>
      <c r="E270" s="16">
        <f>IF(266&lt;=Calculadora!$C$9*12,E269-D270,"")</f>
        <v/>
      </c>
    </row>
    <row r="271">
      <c r="A271" s="15">
        <f>IF(267&lt;=Calculadora!$C$9*12,267,"")</f>
        <v/>
      </c>
      <c r="B271" s="16">
        <f>IF(267&lt;=Calculadora!$C$9*12,Calculadora!$C$12,"")</f>
        <v/>
      </c>
      <c r="C271" s="16">
        <f>IF(267&lt;=Calculadora!$C$9*12,E270*Calculadora!$C$8/1200,"")</f>
        <v/>
      </c>
      <c r="D271" s="16">
        <f>IF(267&lt;=Calculadora!$C$9*12,B271-C271,"")</f>
        <v/>
      </c>
      <c r="E271" s="16">
        <f>IF(267&lt;=Calculadora!$C$9*12,E270-D271,"")</f>
        <v/>
      </c>
    </row>
    <row r="272">
      <c r="A272" s="15">
        <f>IF(268&lt;=Calculadora!$C$9*12,268,"")</f>
        <v/>
      </c>
      <c r="B272" s="16">
        <f>IF(268&lt;=Calculadora!$C$9*12,Calculadora!$C$12,"")</f>
        <v/>
      </c>
      <c r="C272" s="16">
        <f>IF(268&lt;=Calculadora!$C$9*12,E271*Calculadora!$C$8/1200,"")</f>
        <v/>
      </c>
      <c r="D272" s="16">
        <f>IF(268&lt;=Calculadora!$C$9*12,B272-C272,"")</f>
        <v/>
      </c>
      <c r="E272" s="16">
        <f>IF(268&lt;=Calculadora!$C$9*12,E271-D272,"")</f>
        <v/>
      </c>
    </row>
    <row r="273">
      <c r="A273" s="15">
        <f>IF(269&lt;=Calculadora!$C$9*12,269,"")</f>
        <v/>
      </c>
      <c r="B273" s="16">
        <f>IF(269&lt;=Calculadora!$C$9*12,Calculadora!$C$12,"")</f>
        <v/>
      </c>
      <c r="C273" s="16">
        <f>IF(269&lt;=Calculadora!$C$9*12,E272*Calculadora!$C$8/1200,"")</f>
        <v/>
      </c>
      <c r="D273" s="16">
        <f>IF(269&lt;=Calculadora!$C$9*12,B273-C273,"")</f>
        <v/>
      </c>
      <c r="E273" s="16">
        <f>IF(269&lt;=Calculadora!$C$9*12,E272-D273,"")</f>
        <v/>
      </c>
    </row>
    <row r="274">
      <c r="A274" s="15">
        <f>IF(270&lt;=Calculadora!$C$9*12,270,"")</f>
        <v/>
      </c>
      <c r="B274" s="16">
        <f>IF(270&lt;=Calculadora!$C$9*12,Calculadora!$C$12,"")</f>
        <v/>
      </c>
      <c r="C274" s="16">
        <f>IF(270&lt;=Calculadora!$C$9*12,E273*Calculadora!$C$8/1200,"")</f>
        <v/>
      </c>
      <c r="D274" s="16">
        <f>IF(270&lt;=Calculadora!$C$9*12,B274-C274,"")</f>
        <v/>
      </c>
      <c r="E274" s="16">
        <f>IF(270&lt;=Calculadora!$C$9*12,E273-D274,"")</f>
        <v/>
      </c>
    </row>
    <row r="275">
      <c r="A275" s="15">
        <f>IF(271&lt;=Calculadora!$C$9*12,271,"")</f>
        <v/>
      </c>
      <c r="B275" s="16">
        <f>IF(271&lt;=Calculadora!$C$9*12,Calculadora!$C$12,"")</f>
        <v/>
      </c>
      <c r="C275" s="16">
        <f>IF(271&lt;=Calculadora!$C$9*12,E274*Calculadora!$C$8/1200,"")</f>
        <v/>
      </c>
      <c r="D275" s="16">
        <f>IF(271&lt;=Calculadora!$C$9*12,B275-C275,"")</f>
        <v/>
      </c>
      <c r="E275" s="16">
        <f>IF(271&lt;=Calculadora!$C$9*12,E274-D275,"")</f>
        <v/>
      </c>
    </row>
    <row r="276">
      <c r="A276" s="15">
        <f>IF(272&lt;=Calculadora!$C$9*12,272,"")</f>
        <v/>
      </c>
      <c r="B276" s="16">
        <f>IF(272&lt;=Calculadora!$C$9*12,Calculadora!$C$12,"")</f>
        <v/>
      </c>
      <c r="C276" s="16">
        <f>IF(272&lt;=Calculadora!$C$9*12,E275*Calculadora!$C$8/1200,"")</f>
        <v/>
      </c>
      <c r="D276" s="16">
        <f>IF(272&lt;=Calculadora!$C$9*12,B276-C276,"")</f>
        <v/>
      </c>
      <c r="E276" s="16">
        <f>IF(272&lt;=Calculadora!$C$9*12,E275-D276,"")</f>
        <v/>
      </c>
    </row>
    <row r="277">
      <c r="A277" s="15">
        <f>IF(273&lt;=Calculadora!$C$9*12,273,"")</f>
        <v/>
      </c>
      <c r="B277" s="16">
        <f>IF(273&lt;=Calculadora!$C$9*12,Calculadora!$C$12,"")</f>
        <v/>
      </c>
      <c r="C277" s="16">
        <f>IF(273&lt;=Calculadora!$C$9*12,E276*Calculadora!$C$8/1200,"")</f>
        <v/>
      </c>
      <c r="D277" s="16">
        <f>IF(273&lt;=Calculadora!$C$9*12,B277-C277,"")</f>
        <v/>
      </c>
      <c r="E277" s="16">
        <f>IF(273&lt;=Calculadora!$C$9*12,E276-D277,"")</f>
        <v/>
      </c>
    </row>
    <row r="278">
      <c r="A278" s="15">
        <f>IF(274&lt;=Calculadora!$C$9*12,274,"")</f>
        <v/>
      </c>
      <c r="B278" s="16">
        <f>IF(274&lt;=Calculadora!$C$9*12,Calculadora!$C$12,"")</f>
        <v/>
      </c>
      <c r="C278" s="16">
        <f>IF(274&lt;=Calculadora!$C$9*12,E277*Calculadora!$C$8/1200,"")</f>
        <v/>
      </c>
      <c r="D278" s="16">
        <f>IF(274&lt;=Calculadora!$C$9*12,B278-C278,"")</f>
        <v/>
      </c>
      <c r="E278" s="16">
        <f>IF(274&lt;=Calculadora!$C$9*12,E277-D278,"")</f>
        <v/>
      </c>
    </row>
    <row r="279">
      <c r="A279" s="15">
        <f>IF(275&lt;=Calculadora!$C$9*12,275,"")</f>
        <v/>
      </c>
      <c r="B279" s="16">
        <f>IF(275&lt;=Calculadora!$C$9*12,Calculadora!$C$12,"")</f>
        <v/>
      </c>
      <c r="C279" s="16">
        <f>IF(275&lt;=Calculadora!$C$9*12,E278*Calculadora!$C$8/1200,"")</f>
        <v/>
      </c>
      <c r="D279" s="16">
        <f>IF(275&lt;=Calculadora!$C$9*12,B279-C279,"")</f>
        <v/>
      </c>
      <c r="E279" s="16">
        <f>IF(275&lt;=Calculadora!$C$9*12,E278-D279,"")</f>
        <v/>
      </c>
    </row>
    <row r="280">
      <c r="A280" s="15">
        <f>IF(276&lt;=Calculadora!$C$9*12,276,"")</f>
        <v/>
      </c>
      <c r="B280" s="16">
        <f>IF(276&lt;=Calculadora!$C$9*12,Calculadora!$C$12,"")</f>
        <v/>
      </c>
      <c r="C280" s="16">
        <f>IF(276&lt;=Calculadora!$C$9*12,E279*Calculadora!$C$8/1200,"")</f>
        <v/>
      </c>
      <c r="D280" s="16">
        <f>IF(276&lt;=Calculadora!$C$9*12,B280-C280,"")</f>
        <v/>
      </c>
      <c r="E280" s="16">
        <f>IF(276&lt;=Calculadora!$C$9*12,E279-D280,"")</f>
        <v/>
      </c>
    </row>
    <row r="281">
      <c r="A281" s="15">
        <f>IF(277&lt;=Calculadora!$C$9*12,277,"")</f>
        <v/>
      </c>
      <c r="B281" s="16">
        <f>IF(277&lt;=Calculadora!$C$9*12,Calculadora!$C$12,"")</f>
        <v/>
      </c>
      <c r="C281" s="16">
        <f>IF(277&lt;=Calculadora!$C$9*12,E280*Calculadora!$C$8/1200,"")</f>
        <v/>
      </c>
      <c r="D281" s="16">
        <f>IF(277&lt;=Calculadora!$C$9*12,B281-C281,"")</f>
        <v/>
      </c>
      <c r="E281" s="16">
        <f>IF(277&lt;=Calculadora!$C$9*12,E280-D281,"")</f>
        <v/>
      </c>
    </row>
    <row r="282">
      <c r="A282" s="15">
        <f>IF(278&lt;=Calculadora!$C$9*12,278,"")</f>
        <v/>
      </c>
      <c r="B282" s="16">
        <f>IF(278&lt;=Calculadora!$C$9*12,Calculadora!$C$12,"")</f>
        <v/>
      </c>
      <c r="C282" s="16">
        <f>IF(278&lt;=Calculadora!$C$9*12,E281*Calculadora!$C$8/1200,"")</f>
        <v/>
      </c>
      <c r="D282" s="16">
        <f>IF(278&lt;=Calculadora!$C$9*12,B282-C282,"")</f>
        <v/>
      </c>
      <c r="E282" s="16">
        <f>IF(278&lt;=Calculadora!$C$9*12,E281-D282,"")</f>
        <v/>
      </c>
    </row>
    <row r="283">
      <c r="A283" s="15">
        <f>IF(279&lt;=Calculadora!$C$9*12,279,"")</f>
        <v/>
      </c>
      <c r="B283" s="16">
        <f>IF(279&lt;=Calculadora!$C$9*12,Calculadora!$C$12,"")</f>
        <v/>
      </c>
      <c r="C283" s="16">
        <f>IF(279&lt;=Calculadora!$C$9*12,E282*Calculadora!$C$8/1200,"")</f>
        <v/>
      </c>
      <c r="D283" s="16">
        <f>IF(279&lt;=Calculadora!$C$9*12,B283-C283,"")</f>
        <v/>
      </c>
      <c r="E283" s="16">
        <f>IF(279&lt;=Calculadora!$C$9*12,E282-D283,"")</f>
        <v/>
      </c>
    </row>
    <row r="284">
      <c r="A284" s="15">
        <f>IF(280&lt;=Calculadora!$C$9*12,280,"")</f>
        <v/>
      </c>
      <c r="B284" s="16">
        <f>IF(280&lt;=Calculadora!$C$9*12,Calculadora!$C$12,"")</f>
        <v/>
      </c>
      <c r="C284" s="16">
        <f>IF(280&lt;=Calculadora!$C$9*12,E283*Calculadora!$C$8/1200,"")</f>
        <v/>
      </c>
      <c r="D284" s="16">
        <f>IF(280&lt;=Calculadora!$C$9*12,B284-C284,"")</f>
        <v/>
      </c>
      <c r="E284" s="16">
        <f>IF(280&lt;=Calculadora!$C$9*12,E283-D284,"")</f>
        <v/>
      </c>
    </row>
    <row r="285">
      <c r="A285" s="15">
        <f>IF(281&lt;=Calculadora!$C$9*12,281,"")</f>
        <v/>
      </c>
      <c r="B285" s="16">
        <f>IF(281&lt;=Calculadora!$C$9*12,Calculadora!$C$12,"")</f>
        <v/>
      </c>
      <c r="C285" s="16">
        <f>IF(281&lt;=Calculadora!$C$9*12,E284*Calculadora!$C$8/1200,"")</f>
        <v/>
      </c>
      <c r="D285" s="16">
        <f>IF(281&lt;=Calculadora!$C$9*12,B285-C285,"")</f>
        <v/>
      </c>
      <c r="E285" s="16">
        <f>IF(281&lt;=Calculadora!$C$9*12,E284-D285,"")</f>
        <v/>
      </c>
    </row>
    <row r="286">
      <c r="A286" s="15">
        <f>IF(282&lt;=Calculadora!$C$9*12,282,"")</f>
        <v/>
      </c>
      <c r="B286" s="16">
        <f>IF(282&lt;=Calculadora!$C$9*12,Calculadora!$C$12,"")</f>
        <v/>
      </c>
      <c r="C286" s="16">
        <f>IF(282&lt;=Calculadora!$C$9*12,E285*Calculadora!$C$8/1200,"")</f>
        <v/>
      </c>
      <c r="D286" s="16">
        <f>IF(282&lt;=Calculadora!$C$9*12,B286-C286,"")</f>
        <v/>
      </c>
      <c r="E286" s="16">
        <f>IF(282&lt;=Calculadora!$C$9*12,E285-D286,"")</f>
        <v/>
      </c>
    </row>
    <row r="287">
      <c r="A287" s="15">
        <f>IF(283&lt;=Calculadora!$C$9*12,283,"")</f>
        <v/>
      </c>
      <c r="B287" s="16">
        <f>IF(283&lt;=Calculadora!$C$9*12,Calculadora!$C$12,"")</f>
        <v/>
      </c>
      <c r="C287" s="16">
        <f>IF(283&lt;=Calculadora!$C$9*12,E286*Calculadora!$C$8/1200,"")</f>
        <v/>
      </c>
      <c r="D287" s="16">
        <f>IF(283&lt;=Calculadora!$C$9*12,B287-C287,"")</f>
        <v/>
      </c>
      <c r="E287" s="16">
        <f>IF(283&lt;=Calculadora!$C$9*12,E286-D287,"")</f>
        <v/>
      </c>
    </row>
    <row r="288">
      <c r="A288" s="15">
        <f>IF(284&lt;=Calculadora!$C$9*12,284,"")</f>
        <v/>
      </c>
      <c r="B288" s="16">
        <f>IF(284&lt;=Calculadora!$C$9*12,Calculadora!$C$12,"")</f>
        <v/>
      </c>
      <c r="C288" s="16">
        <f>IF(284&lt;=Calculadora!$C$9*12,E287*Calculadora!$C$8/1200,"")</f>
        <v/>
      </c>
      <c r="D288" s="16">
        <f>IF(284&lt;=Calculadora!$C$9*12,B288-C288,"")</f>
        <v/>
      </c>
      <c r="E288" s="16">
        <f>IF(284&lt;=Calculadora!$C$9*12,E287-D288,"")</f>
        <v/>
      </c>
    </row>
    <row r="289">
      <c r="A289" s="15">
        <f>IF(285&lt;=Calculadora!$C$9*12,285,"")</f>
        <v/>
      </c>
      <c r="B289" s="16">
        <f>IF(285&lt;=Calculadora!$C$9*12,Calculadora!$C$12,"")</f>
        <v/>
      </c>
      <c r="C289" s="16">
        <f>IF(285&lt;=Calculadora!$C$9*12,E288*Calculadora!$C$8/1200,"")</f>
        <v/>
      </c>
      <c r="D289" s="16">
        <f>IF(285&lt;=Calculadora!$C$9*12,B289-C289,"")</f>
        <v/>
      </c>
      <c r="E289" s="16">
        <f>IF(285&lt;=Calculadora!$C$9*12,E288-D289,"")</f>
        <v/>
      </c>
    </row>
    <row r="290">
      <c r="A290" s="15">
        <f>IF(286&lt;=Calculadora!$C$9*12,286,"")</f>
        <v/>
      </c>
      <c r="B290" s="16">
        <f>IF(286&lt;=Calculadora!$C$9*12,Calculadora!$C$12,"")</f>
        <v/>
      </c>
      <c r="C290" s="16">
        <f>IF(286&lt;=Calculadora!$C$9*12,E289*Calculadora!$C$8/1200,"")</f>
        <v/>
      </c>
      <c r="D290" s="16">
        <f>IF(286&lt;=Calculadora!$C$9*12,B290-C290,"")</f>
        <v/>
      </c>
      <c r="E290" s="16">
        <f>IF(286&lt;=Calculadora!$C$9*12,E289-D290,"")</f>
        <v/>
      </c>
    </row>
    <row r="291">
      <c r="A291" s="15">
        <f>IF(287&lt;=Calculadora!$C$9*12,287,"")</f>
        <v/>
      </c>
      <c r="B291" s="16">
        <f>IF(287&lt;=Calculadora!$C$9*12,Calculadora!$C$12,"")</f>
        <v/>
      </c>
      <c r="C291" s="16">
        <f>IF(287&lt;=Calculadora!$C$9*12,E290*Calculadora!$C$8/1200,"")</f>
        <v/>
      </c>
      <c r="D291" s="16">
        <f>IF(287&lt;=Calculadora!$C$9*12,B291-C291,"")</f>
        <v/>
      </c>
      <c r="E291" s="16">
        <f>IF(287&lt;=Calculadora!$C$9*12,E290-D291,"")</f>
        <v/>
      </c>
    </row>
    <row r="292">
      <c r="A292" s="15">
        <f>IF(288&lt;=Calculadora!$C$9*12,288,"")</f>
        <v/>
      </c>
      <c r="B292" s="16">
        <f>IF(288&lt;=Calculadora!$C$9*12,Calculadora!$C$12,"")</f>
        <v/>
      </c>
      <c r="C292" s="16">
        <f>IF(288&lt;=Calculadora!$C$9*12,E291*Calculadora!$C$8/1200,"")</f>
        <v/>
      </c>
      <c r="D292" s="16">
        <f>IF(288&lt;=Calculadora!$C$9*12,B292-C292,"")</f>
        <v/>
      </c>
      <c r="E292" s="16">
        <f>IF(288&lt;=Calculadora!$C$9*12,E291-D292,"")</f>
        <v/>
      </c>
    </row>
    <row r="293">
      <c r="A293" s="15">
        <f>IF(289&lt;=Calculadora!$C$9*12,289,"")</f>
        <v/>
      </c>
      <c r="B293" s="16">
        <f>IF(289&lt;=Calculadora!$C$9*12,Calculadora!$C$12,"")</f>
        <v/>
      </c>
      <c r="C293" s="16">
        <f>IF(289&lt;=Calculadora!$C$9*12,E292*Calculadora!$C$8/1200,"")</f>
        <v/>
      </c>
      <c r="D293" s="16">
        <f>IF(289&lt;=Calculadora!$C$9*12,B293-C293,"")</f>
        <v/>
      </c>
      <c r="E293" s="16">
        <f>IF(289&lt;=Calculadora!$C$9*12,E292-D293,"")</f>
        <v/>
      </c>
    </row>
    <row r="294">
      <c r="A294" s="15">
        <f>IF(290&lt;=Calculadora!$C$9*12,290,"")</f>
        <v/>
      </c>
      <c r="B294" s="16">
        <f>IF(290&lt;=Calculadora!$C$9*12,Calculadora!$C$12,"")</f>
        <v/>
      </c>
      <c r="C294" s="16">
        <f>IF(290&lt;=Calculadora!$C$9*12,E293*Calculadora!$C$8/1200,"")</f>
        <v/>
      </c>
      <c r="D294" s="16">
        <f>IF(290&lt;=Calculadora!$C$9*12,B294-C294,"")</f>
        <v/>
      </c>
      <c r="E294" s="16">
        <f>IF(290&lt;=Calculadora!$C$9*12,E293-D294,"")</f>
        <v/>
      </c>
    </row>
    <row r="295">
      <c r="A295" s="15">
        <f>IF(291&lt;=Calculadora!$C$9*12,291,"")</f>
        <v/>
      </c>
      <c r="B295" s="16">
        <f>IF(291&lt;=Calculadora!$C$9*12,Calculadora!$C$12,"")</f>
        <v/>
      </c>
      <c r="C295" s="16">
        <f>IF(291&lt;=Calculadora!$C$9*12,E294*Calculadora!$C$8/1200,"")</f>
        <v/>
      </c>
      <c r="D295" s="16">
        <f>IF(291&lt;=Calculadora!$C$9*12,B295-C295,"")</f>
        <v/>
      </c>
      <c r="E295" s="16">
        <f>IF(291&lt;=Calculadora!$C$9*12,E294-D295,"")</f>
        <v/>
      </c>
    </row>
    <row r="296">
      <c r="A296" s="15">
        <f>IF(292&lt;=Calculadora!$C$9*12,292,"")</f>
        <v/>
      </c>
      <c r="B296" s="16">
        <f>IF(292&lt;=Calculadora!$C$9*12,Calculadora!$C$12,"")</f>
        <v/>
      </c>
      <c r="C296" s="16">
        <f>IF(292&lt;=Calculadora!$C$9*12,E295*Calculadora!$C$8/1200,"")</f>
        <v/>
      </c>
      <c r="D296" s="16">
        <f>IF(292&lt;=Calculadora!$C$9*12,B296-C296,"")</f>
        <v/>
      </c>
      <c r="E296" s="16">
        <f>IF(292&lt;=Calculadora!$C$9*12,E295-D296,"")</f>
        <v/>
      </c>
    </row>
    <row r="297">
      <c r="A297" s="15">
        <f>IF(293&lt;=Calculadora!$C$9*12,293,"")</f>
        <v/>
      </c>
      <c r="B297" s="16">
        <f>IF(293&lt;=Calculadora!$C$9*12,Calculadora!$C$12,"")</f>
        <v/>
      </c>
      <c r="C297" s="16">
        <f>IF(293&lt;=Calculadora!$C$9*12,E296*Calculadora!$C$8/1200,"")</f>
        <v/>
      </c>
      <c r="D297" s="16">
        <f>IF(293&lt;=Calculadora!$C$9*12,B297-C297,"")</f>
        <v/>
      </c>
      <c r="E297" s="16">
        <f>IF(293&lt;=Calculadora!$C$9*12,E296-D297,"")</f>
        <v/>
      </c>
    </row>
    <row r="298">
      <c r="A298" s="15">
        <f>IF(294&lt;=Calculadora!$C$9*12,294,"")</f>
        <v/>
      </c>
      <c r="B298" s="16">
        <f>IF(294&lt;=Calculadora!$C$9*12,Calculadora!$C$12,"")</f>
        <v/>
      </c>
      <c r="C298" s="16">
        <f>IF(294&lt;=Calculadora!$C$9*12,E297*Calculadora!$C$8/1200,"")</f>
        <v/>
      </c>
      <c r="D298" s="16">
        <f>IF(294&lt;=Calculadora!$C$9*12,B298-C298,"")</f>
        <v/>
      </c>
      <c r="E298" s="16">
        <f>IF(294&lt;=Calculadora!$C$9*12,E297-D298,"")</f>
        <v/>
      </c>
    </row>
    <row r="299">
      <c r="A299" s="15">
        <f>IF(295&lt;=Calculadora!$C$9*12,295,"")</f>
        <v/>
      </c>
      <c r="B299" s="16">
        <f>IF(295&lt;=Calculadora!$C$9*12,Calculadora!$C$12,"")</f>
        <v/>
      </c>
      <c r="C299" s="16">
        <f>IF(295&lt;=Calculadora!$C$9*12,E298*Calculadora!$C$8/1200,"")</f>
        <v/>
      </c>
      <c r="D299" s="16">
        <f>IF(295&lt;=Calculadora!$C$9*12,B299-C299,"")</f>
        <v/>
      </c>
      <c r="E299" s="16">
        <f>IF(295&lt;=Calculadora!$C$9*12,E298-D299,"")</f>
        <v/>
      </c>
    </row>
    <row r="300">
      <c r="A300" s="15">
        <f>IF(296&lt;=Calculadora!$C$9*12,296,"")</f>
        <v/>
      </c>
      <c r="B300" s="16">
        <f>IF(296&lt;=Calculadora!$C$9*12,Calculadora!$C$12,"")</f>
        <v/>
      </c>
      <c r="C300" s="16">
        <f>IF(296&lt;=Calculadora!$C$9*12,E299*Calculadora!$C$8/1200,"")</f>
        <v/>
      </c>
      <c r="D300" s="16">
        <f>IF(296&lt;=Calculadora!$C$9*12,B300-C300,"")</f>
        <v/>
      </c>
      <c r="E300" s="16">
        <f>IF(296&lt;=Calculadora!$C$9*12,E299-D300,"")</f>
        <v/>
      </c>
    </row>
    <row r="301">
      <c r="A301" s="15">
        <f>IF(297&lt;=Calculadora!$C$9*12,297,"")</f>
        <v/>
      </c>
      <c r="B301" s="16">
        <f>IF(297&lt;=Calculadora!$C$9*12,Calculadora!$C$12,"")</f>
        <v/>
      </c>
      <c r="C301" s="16">
        <f>IF(297&lt;=Calculadora!$C$9*12,E300*Calculadora!$C$8/1200,"")</f>
        <v/>
      </c>
      <c r="D301" s="16">
        <f>IF(297&lt;=Calculadora!$C$9*12,B301-C301,"")</f>
        <v/>
      </c>
      <c r="E301" s="16">
        <f>IF(297&lt;=Calculadora!$C$9*12,E300-D301,"")</f>
        <v/>
      </c>
    </row>
    <row r="302">
      <c r="A302" s="15">
        <f>IF(298&lt;=Calculadora!$C$9*12,298,"")</f>
        <v/>
      </c>
      <c r="B302" s="16">
        <f>IF(298&lt;=Calculadora!$C$9*12,Calculadora!$C$12,"")</f>
        <v/>
      </c>
      <c r="C302" s="16">
        <f>IF(298&lt;=Calculadora!$C$9*12,E301*Calculadora!$C$8/1200,"")</f>
        <v/>
      </c>
      <c r="D302" s="16">
        <f>IF(298&lt;=Calculadora!$C$9*12,B302-C302,"")</f>
        <v/>
      </c>
      <c r="E302" s="16">
        <f>IF(298&lt;=Calculadora!$C$9*12,E301-D302,"")</f>
        <v/>
      </c>
    </row>
    <row r="303">
      <c r="A303" s="15">
        <f>IF(299&lt;=Calculadora!$C$9*12,299,"")</f>
        <v/>
      </c>
      <c r="B303" s="16">
        <f>IF(299&lt;=Calculadora!$C$9*12,Calculadora!$C$12,"")</f>
        <v/>
      </c>
      <c r="C303" s="16">
        <f>IF(299&lt;=Calculadora!$C$9*12,E302*Calculadora!$C$8/1200,"")</f>
        <v/>
      </c>
      <c r="D303" s="16">
        <f>IF(299&lt;=Calculadora!$C$9*12,B303-C303,"")</f>
        <v/>
      </c>
      <c r="E303" s="16">
        <f>IF(299&lt;=Calculadora!$C$9*12,E302-D303,"")</f>
        <v/>
      </c>
    </row>
    <row r="304">
      <c r="A304" s="15">
        <f>IF(300&lt;=Calculadora!$C$9*12,300,"")</f>
        <v/>
      </c>
      <c r="B304" s="16">
        <f>IF(300&lt;=Calculadora!$C$9*12,Calculadora!$C$12,"")</f>
        <v/>
      </c>
      <c r="C304" s="16">
        <f>IF(300&lt;=Calculadora!$C$9*12,E303*Calculadora!$C$8/1200,"")</f>
        <v/>
      </c>
      <c r="D304" s="16">
        <f>IF(300&lt;=Calculadora!$C$9*12,B304-C304,"")</f>
        <v/>
      </c>
      <c r="E304" s="16">
        <f>IF(300&lt;=Calculadora!$C$9*12,E303-D304,"")</f>
        <v/>
      </c>
    </row>
    <row r="305">
      <c r="A305" s="15">
        <f>IF(301&lt;=Calculadora!$C$9*12,301,"")</f>
        <v/>
      </c>
      <c r="B305" s="16">
        <f>IF(301&lt;=Calculadora!$C$9*12,Calculadora!$C$12,"")</f>
        <v/>
      </c>
      <c r="C305" s="16">
        <f>IF(301&lt;=Calculadora!$C$9*12,E304*Calculadora!$C$8/1200,"")</f>
        <v/>
      </c>
      <c r="D305" s="16">
        <f>IF(301&lt;=Calculadora!$C$9*12,B305-C305,"")</f>
        <v/>
      </c>
      <c r="E305" s="16">
        <f>IF(301&lt;=Calculadora!$C$9*12,E304-D305,"")</f>
        <v/>
      </c>
    </row>
    <row r="306">
      <c r="A306" s="15">
        <f>IF(302&lt;=Calculadora!$C$9*12,302,"")</f>
        <v/>
      </c>
      <c r="B306" s="16">
        <f>IF(302&lt;=Calculadora!$C$9*12,Calculadora!$C$12,"")</f>
        <v/>
      </c>
      <c r="C306" s="16">
        <f>IF(302&lt;=Calculadora!$C$9*12,E305*Calculadora!$C$8/1200,"")</f>
        <v/>
      </c>
      <c r="D306" s="16">
        <f>IF(302&lt;=Calculadora!$C$9*12,B306-C306,"")</f>
        <v/>
      </c>
      <c r="E306" s="16">
        <f>IF(302&lt;=Calculadora!$C$9*12,E305-D306,"")</f>
        <v/>
      </c>
    </row>
    <row r="307">
      <c r="A307" s="15">
        <f>IF(303&lt;=Calculadora!$C$9*12,303,"")</f>
        <v/>
      </c>
      <c r="B307" s="16">
        <f>IF(303&lt;=Calculadora!$C$9*12,Calculadora!$C$12,"")</f>
        <v/>
      </c>
      <c r="C307" s="16">
        <f>IF(303&lt;=Calculadora!$C$9*12,E306*Calculadora!$C$8/1200,"")</f>
        <v/>
      </c>
      <c r="D307" s="16">
        <f>IF(303&lt;=Calculadora!$C$9*12,B307-C307,"")</f>
        <v/>
      </c>
      <c r="E307" s="16">
        <f>IF(303&lt;=Calculadora!$C$9*12,E306-D307,"")</f>
        <v/>
      </c>
    </row>
    <row r="308">
      <c r="A308" s="15">
        <f>IF(304&lt;=Calculadora!$C$9*12,304,"")</f>
        <v/>
      </c>
      <c r="B308" s="16">
        <f>IF(304&lt;=Calculadora!$C$9*12,Calculadora!$C$12,"")</f>
        <v/>
      </c>
      <c r="C308" s="16">
        <f>IF(304&lt;=Calculadora!$C$9*12,E307*Calculadora!$C$8/1200,"")</f>
        <v/>
      </c>
      <c r="D308" s="16">
        <f>IF(304&lt;=Calculadora!$C$9*12,B308-C308,"")</f>
        <v/>
      </c>
      <c r="E308" s="16">
        <f>IF(304&lt;=Calculadora!$C$9*12,E307-D308,"")</f>
        <v/>
      </c>
    </row>
    <row r="309">
      <c r="A309" s="15">
        <f>IF(305&lt;=Calculadora!$C$9*12,305,"")</f>
        <v/>
      </c>
      <c r="B309" s="16">
        <f>IF(305&lt;=Calculadora!$C$9*12,Calculadora!$C$12,"")</f>
        <v/>
      </c>
      <c r="C309" s="16">
        <f>IF(305&lt;=Calculadora!$C$9*12,E308*Calculadora!$C$8/1200,"")</f>
        <v/>
      </c>
      <c r="D309" s="16">
        <f>IF(305&lt;=Calculadora!$C$9*12,B309-C309,"")</f>
        <v/>
      </c>
      <c r="E309" s="16">
        <f>IF(305&lt;=Calculadora!$C$9*12,E308-D309,"")</f>
        <v/>
      </c>
    </row>
    <row r="310">
      <c r="A310" s="15">
        <f>IF(306&lt;=Calculadora!$C$9*12,306,"")</f>
        <v/>
      </c>
      <c r="B310" s="16">
        <f>IF(306&lt;=Calculadora!$C$9*12,Calculadora!$C$12,"")</f>
        <v/>
      </c>
      <c r="C310" s="16">
        <f>IF(306&lt;=Calculadora!$C$9*12,E309*Calculadora!$C$8/1200,"")</f>
        <v/>
      </c>
      <c r="D310" s="16">
        <f>IF(306&lt;=Calculadora!$C$9*12,B310-C310,"")</f>
        <v/>
      </c>
      <c r="E310" s="16">
        <f>IF(306&lt;=Calculadora!$C$9*12,E309-D310,"")</f>
        <v/>
      </c>
    </row>
    <row r="311">
      <c r="A311" s="15">
        <f>IF(307&lt;=Calculadora!$C$9*12,307,"")</f>
        <v/>
      </c>
      <c r="B311" s="16">
        <f>IF(307&lt;=Calculadora!$C$9*12,Calculadora!$C$12,"")</f>
        <v/>
      </c>
      <c r="C311" s="16">
        <f>IF(307&lt;=Calculadora!$C$9*12,E310*Calculadora!$C$8/1200,"")</f>
        <v/>
      </c>
      <c r="D311" s="16">
        <f>IF(307&lt;=Calculadora!$C$9*12,B311-C311,"")</f>
        <v/>
      </c>
      <c r="E311" s="16">
        <f>IF(307&lt;=Calculadora!$C$9*12,E310-D311,"")</f>
        <v/>
      </c>
    </row>
    <row r="312">
      <c r="A312" s="15">
        <f>IF(308&lt;=Calculadora!$C$9*12,308,"")</f>
        <v/>
      </c>
      <c r="B312" s="16">
        <f>IF(308&lt;=Calculadora!$C$9*12,Calculadora!$C$12,"")</f>
        <v/>
      </c>
      <c r="C312" s="16">
        <f>IF(308&lt;=Calculadora!$C$9*12,E311*Calculadora!$C$8/1200,"")</f>
        <v/>
      </c>
      <c r="D312" s="16">
        <f>IF(308&lt;=Calculadora!$C$9*12,B312-C312,"")</f>
        <v/>
      </c>
      <c r="E312" s="16">
        <f>IF(308&lt;=Calculadora!$C$9*12,E311-D312,"")</f>
        <v/>
      </c>
    </row>
    <row r="313">
      <c r="A313" s="15">
        <f>IF(309&lt;=Calculadora!$C$9*12,309,"")</f>
        <v/>
      </c>
      <c r="B313" s="16">
        <f>IF(309&lt;=Calculadora!$C$9*12,Calculadora!$C$12,"")</f>
        <v/>
      </c>
      <c r="C313" s="16">
        <f>IF(309&lt;=Calculadora!$C$9*12,E312*Calculadora!$C$8/1200,"")</f>
        <v/>
      </c>
      <c r="D313" s="16">
        <f>IF(309&lt;=Calculadora!$C$9*12,B313-C313,"")</f>
        <v/>
      </c>
      <c r="E313" s="16">
        <f>IF(309&lt;=Calculadora!$C$9*12,E312-D313,"")</f>
        <v/>
      </c>
    </row>
    <row r="314">
      <c r="A314" s="15">
        <f>IF(310&lt;=Calculadora!$C$9*12,310,"")</f>
        <v/>
      </c>
      <c r="B314" s="16">
        <f>IF(310&lt;=Calculadora!$C$9*12,Calculadora!$C$12,"")</f>
        <v/>
      </c>
      <c r="C314" s="16">
        <f>IF(310&lt;=Calculadora!$C$9*12,E313*Calculadora!$C$8/1200,"")</f>
        <v/>
      </c>
      <c r="D314" s="16">
        <f>IF(310&lt;=Calculadora!$C$9*12,B314-C314,"")</f>
        <v/>
      </c>
      <c r="E314" s="16">
        <f>IF(310&lt;=Calculadora!$C$9*12,E313-D314,"")</f>
        <v/>
      </c>
    </row>
    <row r="315">
      <c r="A315" s="15">
        <f>IF(311&lt;=Calculadora!$C$9*12,311,"")</f>
        <v/>
      </c>
      <c r="B315" s="16">
        <f>IF(311&lt;=Calculadora!$C$9*12,Calculadora!$C$12,"")</f>
        <v/>
      </c>
      <c r="C315" s="16">
        <f>IF(311&lt;=Calculadora!$C$9*12,E314*Calculadora!$C$8/1200,"")</f>
        <v/>
      </c>
      <c r="D315" s="16">
        <f>IF(311&lt;=Calculadora!$C$9*12,B315-C315,"")</f>
        <v/>
      </c>
      <c r="E315" s="16">
        <f>IF(311&lt;=Calculadora!$C$9*12,E314-D315,"")</f>
        <v/>
      </c>
    </row>
    <row r="316">
      <c r="A316" s="15">
        <f>IF(312&lt;=Calculadora!$C$9*12,312,"")</f>
        <v/>
      </c>
      <c r="B316" s="16">
        <f>IF(312&lt;=Calculadora!$C$9*12,Calculadora!$C$12,"")</f>
        <v/>
      </c>
      <c r="C316" s="16">
        <f>IF(312&lt;=Calculadora!$C$9*12,E315*Calculadora!$C$8/1200,"")</f>
        <v/>
      </c>
      <c r="D316" s="16">
        <f>IF(312&lt;=Calculadora!$C$9*12,B316-C316,"")</f>
        <v/>
      </c>
      <c r="E316" s="16">
        <f>IF(312&lt;=Calculadora!$C$9*12,E315-D316,"")</f>
        <v/>
      </c>
    </row>
    <row r="317">
      <c r="A317" s="15">
        <f>IF(313&lt;=Calculadora!$C$9*12,313,"")</f>
        <v/>
      </c>
      <c r="B317" s="16">
        <f>IF(313&lt;=Calculadora!$C$9*12,Calculadora!$C$12,"")</f>
        <v/>
      </c>
      <c r="C317" s="16">
        <f>IF(313&lt;=Calculadora!$C$9*12,E316*Calculadora!$C$8/1200,"")</f>
        <v/>
      </c>
      <c r="D317" s="16">
        <f>IF(313&lt;=Calculadora!$C$9*12,B317-C317,"")</f>
        <v/>
      </c>
      <c r="E317" s="16">
        <f>IF(313&lt;=Calculadora!$C$9*12,E316-D317,"")</f>
        <v/>
      </c>
    </row>
    <row r="318">
      <c r="A318" s="15">
        <f>IF(314&lt;=Calculadora!$C$9*12,314,"")</f>
        <v/>
      </c>
      <c r="B318" s="16">
        <f>IF(314&lt;=Calculadora!$C$9*12,Calculadora!$C$12,"")</f>
        <v/>
      </c>
      <c r="C318" s="16">
        <f>IF(314&lt;=Calculadora!$C$9*12,E317*Calculadora!$C$8/1200,"")</f>
        <v/>
      </c>
      <c r="D318" s="16">
        <f>IF(314&lt;=Calculadora!$C$9*12,B318-C318,"")</f>
        <v/>
      </c>
      <c r="E318" s="16">
        <f>IF(314&lt;=Calculadora!$C$9*12,E317-D318,"")</f>
        <v/>
      </c>
    </row>
    <row r="319">
      <c r="A319" s="15">
        <f>IF(315&lt;=Calculadora!$C$9*12,315,"")</f>
        <v/>
      </c>
      <c r="B319" s="16">
        <f>IF(315&lt;=Calculadora!$C$9*12,Calculadora!$C$12,"")</f>
        <v/>
      </c>
      <c r="C319" s="16">
        <f>IF(315&lt;=Calculadora!$C$9*12,E318*Calculadora!$C$8/1200,"")</f>
        <v/>
      </c>
      <c r="D319" s="16">
        <f>IF(315&lt;=Calculadora!$C$9*12,B319-C319,"")</f>
        <v/>
      </c>
      <c r="E319" s="16">
        <f>IF(315&lt;=Calculadora!$C$9*12,E318-D319,"")</f>
        <v/>
      </c>
    </row>
    <row r="320">
      <c r="A320" s="15">
        <f>IF(316&lt;=Calculadora!$C$9*12,316,"")</f>
        <v/>
      </c>
      <c r="B320" s="16">
        <f>IF(316&lt;=Calculadora!$C$9*12,Calculadora!$C$12,"")</f>
        <v/>
      </c>
      <c r="C320" s="16">
        <f>IF(316&lt;=Calculadora!$C$9*12,E319*Calculadora!$C$8/1200,"")</f>
        <v/>
      </c>
      <c r="D320" s="16">
        <f>IF(316&lt;=Calculadora!$C$9*12,B320-C320,"")</f>
        <v/>
      </c>
      <c r="E320" s="16">
        <f>IF(316&lt;=Calculadora!$C$9*12,E319-D320,"")</f>
        <v/>
      </c>
    </row>
    <row r="321">
      <c r="A321" s="15">
        <f>IF(317&lt;=Calculadora!$C$9*12,317,"")</f>
        <v/>
      </c>
      <c r="B321" s="16">
        <f>IF(317&lt;=Calculadora!$C$9*12,Calculadora!$C$12,"")</f>
        <v/>
      </c>
      <c r="C321" s="16">
        <f>IF(317&lt;=Calculadora!$C$9*12,E320*Calculadora!$C$8/1200,"")</f>
        <v/>
      </c>
      <c r="D321" s="16">
        <f>IF(317&lt;=Calculadora!$C$9*12,B321-C321,"")</f>
        <v/>
      </c>
      <c r="E321" s="16">
        <f>IF(317&lt;=Calculadora!$C$9*12,E320-D321,"")</f>
        <v/>
      </c>
    </row>
    <row r="322">
      <c r="A322" s="15">
        <f>IF(318&lt;=Calculadora!$C$9*12,318,"")</f>
        <v/>
      </c>
      <c r="B322" s="16">
        <f>IF(318&lt;=Calculadora!$C$9*12,Calculadora!$C$12,"")</f>
        <v/>
      </c>
      <c r="C322" s="16">
        <f>IF(318&lt;=Calculadora!$C$9*12,E321*Calculadora!$C$8/1200,"")</f>
        <v/>
      </c>
      <c r="D322" s="16">
        <f>IF(318&lt;=Calculadora!$C$9*12,B322-C322,"")</f>
        <v/>
      </c>
      <c r="E322" s="16">
        <f>IF(318&lt;=Calculadora!$C$9*12,E321-D322,"")</f>
        <v/>
      </c>
    </row>
    <row r="323">
      <c r="A323" s="15">
        <f>IF(319&lt;=Calculadora!$C$9*12,319,"")</f>
        <v/>
      </c>
      <c r="B323" s="16">
        <f>IF(319&lt;=Calculadora!$C$9*12,Calculadora!$C$12,"")</f>
        <v/>
      </c>
      <c r="C323" s="16">
        <f>IF(319&lt;=Calculadora!$C$9*12,E322*Calculadora!$C$8/1200,"")</f>
        <v/>
      </c>
      <c r="D323" s="16">
        <f>IF(319&lt;=Calculadora!$C$9*12,B323-C323,"")</f>
        <v/>
      </c>
      <c r="E323" s="16">
        <f>IF(319&lt;=Calculadora!$C$9*12,E322-D323,"")</f>
        <v/>
      </c>
    </row>
    <row r="324">
      <c r="A324" s="15">
        <f>IF(320&lt;=Calculadora!$C$9*12,320,"")</f>
        <v/>
      </c>
      <c r="B324" s="16">
        <f>IF(320&lt;=Calculadora!$C$9*12,Calculadora!$C$12,"")</f>
        <v/>
      </c>
      <c r="C324" s="16">
        <f>IF(320&lt;=Calculadora!$C$9*12,E323*Calculadora!$C$8/1200,"")</f>
        <v/>
      </c>
      <c r="D324" s="16">
        <f>IF(320&lt;=Calculadora!$C$9*12,B324-C324,"")</f>
        <v/>
      </c>
      <c r="E324" s="16">
        <f>IF(320&lt;=Calculadora!$C$9*12,E323-D324,"")</f>
        <v/>
      </c>
    </row>
    <row r="325">
      <c r="A325" s="15">
        <f>IF(321&lt;=Calculadora!$C$9*12,321,"")</f>
        <v/>
      </c>
      <c r="B325" s="16">
        <f>IF(321&lt;=Calculadora!$C$9*12,Calculadora!$C$12,"")</f>
        <v/>
      </c>
      <c r="C325" s="16">
        <f>IF(321&lt;=Calculadora!$C$9*12,E324*Calculadora!$C$8/1200,"")</f>
        <v/>
      </c>
      <c r="D325" s="16">
        <f>IF(321&lt;=Calculadora!$C$9*12,B325-C325,"")</f>
        <v/>
      </c>
      <c r="E325" s="16">
        <f>IF(321&lt;=Calculadora!$C$9*12,E324-D325,"")</f>
        <v/>
      </c>
    </row>
    <row r="326">
      <c r="A326" s="15">
        <f>IF(322&lt;=Calculadora!$C$9*12,322,"")</f>
        <v/>
      </c>
      <c r="B326" s="16">
        <f>IF(322&lt;=Calculadora!$C$9*12,Calculadora!$C$12,"")</f>
        <v/>
      </c>
      <c r="C326" s="16">
        <f>IF(322&lt;=Calculadora!$C$9*12,E325*Calculadora!$C$8/1200,"")</f>
        <v/>
      </c>
      <c r="D326" s="16">
        <f>IF(322&lt;=Calculadora!$C$9*12,B326-C326,"")</f>
        <v/>
      </c>
      <c r="E326" s="16">
        <f>IF(322&lt;=Calculadora!$C$9*12,E325-D326,"")</f>
        <v/>
      </c>
    </row>
    <row r="327">
      <c r="A327" s="15">
        <f>IF(323&lt;=Calculadora!$C$9*12,323,"")</f>
        <v/>
      </c>
      <c r="B327" s="16">
        <f>IF(323&lt;=Calculadora!$C$9*12,Calculadora!$C$12,"")</f>
        <v/>
      </c>
      <c r="C327" s="16">
        <f>IF(323&lt;=Calculadora!$C$9*12,E326*Calculadora!$C$8/1200,"")</f>
        <v/>
      </c>
      <c r="D327" s="16">
        <f>IF(323&lt;=Calculadora!$C$9*12,B327-C327,"")</f>
        <v/>
      </c>
      <c r="E327" s="16">
        <f>IF(323&lt;=Calculadora!$C$9*12,E326-D327,"")</f>
        <v/>
      </c>
    </row>
    <row r="328">
      <c r="A328" s="15">
        <f>IF(324&lt;=Calculadora!$C$9*12,324,"")</f>
        <v/>
      </c>
      <c r="B328" s="16">
        <f>IF(324&lt;=Calculadora!$C$9*12,Calculadora!$C$12,"")</f>
        <v/>
      </c>
      <c r="C328" s="16">
        <f>IF(324&lt;=Calculadora!$C$9*12,E327*Calculadora!$C$8/1200,"")</f>
        <v/>
      </c>
      <c r="D328" s="16">
        <f>IF(324&lt;=Calculadora!$C$9*12,B328-C328,"")</f>
        <v/>
      </c>
      <c r="E328" s="16">
        <f>IF(324&lt;=Calculadora!$C$9*12,E327-D328,"")</f>
        <v/>
      </c>
    </row>
    <row r="329">
      <c r="A329" s="15">
        <f>IF(325&lt;=Calculadora!$C$9*12,325,"")</f>
        <v/>
      </c>
      <c r="B329" s="16">
        <f>IF(325&lt;=Calculadora!$C$9*12,Calculadora!$C$12,"")</f>
        <v/>
      </c>
      <c r="C329" s="16">
        <f>IF(325&lt;=Calculadora!$C$9*12,E328*Calculadora!$C$8/1200,"")</f>
        <v/>
      </c>
      <c r="D329" s="16">
        <f>IF(325&lt;=Calculadora!$C$9*12,B329-C329,"")</f>
        <v/>
      </c>
      <c r="E329" s="16">
        <f>IF(325&lt;=Calculadora!$C$9*12,E328-D329,"")</f>
        <v/>
      </c>
    </row>
    <row r="330">
      <c r="A330" s="15">
        <f>IF(326&lt;=Calculadora!$C$9*12,326,"")</f>
        <v/>
      </c>
      <c r="B330" s="16">
        <f>IF(326&lt;=Calculadora!$C$9*12,Calculadora!$C$12,"")</f>
        <v/>
      </c>
      <c r="C330" s="16">
        <f>IF(326&lt;=Calculadora!$C$9*12,E329*Calculadora!$C$8/1200,"")</f>
        <v/>
      </c>
      <c r="D330" s="16">
        <f>IF(326&lt;=Calculadora!$C$9*12,B330-C330,"")</f>
        <v/>
      </c>
      <c r="E330" s="16">
        <f>IF(326&lt;=Calculadora!$C$9*12,E329-D330,"")</f>
        <v/>
      </c>
    </row>
    <row r="331">
      <c r="A331" s="15">
        <f>IF(327&lt;=Calculadora!$C$9*12,327,"")</f>
        <v/>
      </c>
      <c r="B331" s="16">
        <f>IF(327&lt;=Calculadora!$C$9*12,Calculadora!$C$12,"")</f>
        <v/>
      </c>
      <c r="C331" s="16">
        <f>IF(327&lt;=Calculadora!$C$9*12,E330*Calculadora!$C$8/1200,"")</f>
        <v/>
      </c>
      <c r="D331" s="16">
        <f>IF(327&lt;=Calculadora!$C$9*12,B331-C331,"")</f>
        <v/>
      </c>
      <c r="E331" s="16">
        <f>IF(327&lt;=Calculadora!$C$9*12,E330-D331,"")</f>
        <v/>
      </c>
    </row>
    <row r="332">
      <c r="A332" s="15">
        <f>IF(328&lt;=Calculadora!$C$9*12,328,"")</f>
        <v/>
      </c>
      <c r="B332" s="16">
        <f>IF(328&lt;=Calculadora!$C$9*12,Calculadora!$C$12,"")</f>
        <v/>
      </c>
      <c r="C332" s="16">
        <f>IF(328&lt;=Calculadora!$C$9*12,E331*Calculadora!$C$8/1200,"")</f>
        <v/>
      </c>
      <c r="D332" s="16">
        <f>IF(328&lt;=Calculadora!$C$9*12,B332-C332,"")</f>
        <v/>
      </c>
      <c r="E332" s="16">
        <f>IF(328&lt;=Calculadora!$C$9*12,E331-D332,"")</f>
        <v/>
      </c>
    </row>
    <row r="333">
      <c r="A333" s="15">
        <f>IF(329&lt;=Calculadora!$C$9*12,329,"")</f>
        <v/>
      </c>
      <c r="B333" s="16">
        <f>IF(329&lt;=Calculadora!$C$9*12,Calculadora!$C$12,"")</f>
        <v/>
      </c>
      <c r="C333" s="16">
        <f>IF(329&lt;=Calculadora!$C$9*12,E332*Calculadora!$C$8/1200,"")</f>
        <v/>
      </c>
      <c r="D333" s="16">
        <f>IF(329&lt;=Calculadora!$C$9*12,B333-C333,"")</f>
        <v/>
      </c>
      <c r="E333" s="16">
        <f>IF(329&lt;=Calculadora!$C$9*12,E332-D333,"")</f>
        <v/>
      </c>
    </row>
    <row r="334">
      <c r="A334" s="15">
        <f>IF(330&lt;=Calculadora!$C$9*12,330,"")</f>
        <v/>
      </c>
      <c r="B334" s="16">
        <f>IF(330&lt;=Calculadora!$C$9*12,Calculadora!$C$12,"")</f>
        <v/>
      </c>
      <c r="C334" s="16">
        <f>IF(330&lt;=Calculadora!$C$9*12,E333*Calculadora!$C$8/1200,"")</f>
        <v/>
      </c>
      <c r="D334" s="16">
        <f>IF(330&lt;=Calculadora!$C$9*12,B334-C334,"")</f>
        <v/>
      </c>
      <c r="E334" s="16">
        <f>IF(330&lt;=Calculadora!$C$9*12,E333-D334,"")</f>
        <v/>
      </c>
    </row>
    <row r="335">
      <c r="A335" s="15">
        <f>IF(331&lt;=Calculadora!$C$9*12,331,"")</f>
        <v/>
      </c>
      <c r="B335" s="16">
        <f>IF(331&lt;=Calculadora!$C$9*12,Calculadora!$C$12,"")</f>
        <v/>
      </c>
      <c r="C335" s="16">
        <f>IF(331&lt;=Calculadora!$C$9*12,E334*Calculadora!$C$8/1200,"")</f>
        <v/>
      </c>
      <c r="D335" s="16">
        <f>IF(331&lt;=Calculadora!$C$9*12,B335-C335,"")</f>
        <v/>
      </c>
      <c r="E335" s="16">
        <f>IF(331&lt;=Calculadora!$C$9*12,E334-D335,"")</f>
        <v/>
      </c>
    </row>
    <row r="336">
      <c r="A336" s="15">
        <f>IF(332&lt;=Calculadora!$C$9*12,332,"")</f>
        <v/>
      </c>
      <c r="B336" s="16">
        <f>IF(332&lt;=Calculadora!$C$9*12,Calculadora!$C$12,"")</f>
        <v/>
      </c>
      <c r="C336" s="16">
        <f>IF(332&lt;=Calculadora!$C$9*12,E335*Calculadora!$C$8/1200,"")</f>
        <v/>
      </c>
      <c r="D336" s="16">
        <f>IF(332&lt;=Calculadora!$C$9*12,B336-C336,"")</f>
        <v/>
      </c>
      <c r="E336" s="16">
        <f>IF(332&lt;=Calculadora!$C$9*12,E335-D336,"")</f>
        <v/>
      </c>
    </row>
    <row r="337">
      <c r="A337" s="15">
        <f>IF(333&lt;=Calculadora!$C$9*12,333,"")</f>
        <v/>
      </c>
      <c r="B337" s="16">
        <f>IF(333&lt;=Calculadora!$C$9*12,Calculadora!$C$12,"")</f>
        <v/>
      </c>
      <c r="C337" s="16">
        <f>IF(333&lt;=Calculadora!$C$9*12,E336*Calculadora!$C$8/1200,"")</f>
        <v/>
      </c>
      <c r="D337" s="16">
        <f>IF(333&lt;=Calculadora!$C$9*12,B337-C337,"")</f>
        <v/>
      </c>
      <c r="E337" s="16">
        <f>IF(333&lt;=Calculadora!$C$9*12,E336-D337,"")</f>
        <v/>
      </c>
    </row>
    <row r="338">
      <c r="A338" s="15">
        <f>IF(334&lt;=Calculadora!$C$9*12,334,"")</f>
        <v/>
      </c>
      <c r="B338" s="16">
        <f>IF(334&lt;=Calculadora!$C$9*12,Calculadora!$C$12,"")</f>
        <v/>
      </c>
      <c r="C338" s="16">
        <f>IF(334&lt;=Calculadora!$C$9*12,E337*Calculadora!$C$8/1200,"")</f>
        <v/>
      </c>
      <c r="D338" s="16">
        <f>IF(334&lt;=Calculadora!$C$9*12,B338-C338,"")</f>
        <v/>
      </c>
      <c r="E338" s="16">
        <f>IF(334&lt;=Calculadora!$C$9*12,E337-D338,"")</f>
        <v/>
      </c>
    </row>
    <row r="339">
      <c r="A339" s="15">
        <f>IF(335&lt;=Calculadora!$C$9*12,335,"")</f>
        <v/>
      </c>
      <c r="B339" s="16">
        <f>IF(335&lt;=Calculadora!$C$9*12,Calculadora!$C$12,"")</f>
        <v/>
      </c>
      <c r="C339" s="16">
        <f>IF(335&lt;=Calculadora!$C$9*12,E338*Calculadora!$C$8/1200,"")</f>
        <v/>
      </c>
      <c r="D339" s="16">
        <f>IF(335&lt;=Calculadora!$C$9*12,B339-C339,"")</f>
        <v/>
      </c>
      <c r="E339" s="16">
        <f>IF(335&lt;=Calculadora!$C$9*12,E338-D339,"")</f>
        <v/>
      </c>
    </row>
    <row r="340">
      <c r="A340" s="15">
        <f>IF(336&lt;=Calculadora!$C$9*12,336,"")</f>
        <v/>
      </c>
      <c r="B340" s="16">
        <f>IF(336&lt;=Calculadora!$C$9*12,Calculadora!$C$12,"")</f>
        <v/>
      </c>
      <c r="C340" s="16">
        <f>IF(336&lt;=Calculadora!$C$9*12,E339*Calculadora!$C$8/1200,"")</f>
        <v/>
      </c>
      <c r="D340" s="16">
        <f>IF(336&lt;=Calculadora!$C$9*12,B340-C340,"")</f>
        <v/>
      </c>
      <c r="E340" s="16">
        <f>IF(336&lt;=Calculadora!$C$9*12,E339-D340,"")</f>
        <v/>
      </c>
    </row>
    <row r="341">
      <c r="A341" s="15">
        <f>IF(337&lt;=Calculadora!$C$9*12,337,"")</f>
        <v/>
      </c>
      <c r="B341" s="16">
        <f>IF(337&lt;=Calculadora!$C$9*12,Calculadora!$C$12,"")</f>
        <v/>
      </c>
      <c r="C341" s="16">
        <f>IF(337&lt;=Calculadora!$C$9*12,E340*Calculadora!$C$8/1200,"")</f>
        <v/>
      </c>
      <c r="D341" s="16">
        <f>IF(337&lt;=Calculadora!$C$9*12,B341-C341,"")</f>
        <v/>
      </c>
      <c r="E341" s="16">
        <f>IF(337&lt;=Calculadora!$C$9*12,E340-D341,"")</f>
        <v/>
      </c>
    </row>
    <row r="342">
      <c r="A342" s="15">
        <f>IF(338&lt;=Calculadora!$C$9*12,338,"")</f>
        <v/>
      </c>
      <c r="B342" s="16">
        <f>IF(338&lt;=Calculadora!$C$9*12,Calculadora!$C$12,"")</f>
        <v/>
      </c>
      <c r="C342" s="16">
        <f>IF(338&lt;=Calculadora!$C$9*12,E341*Calculadora!$C$8/1200,"")</f>
        <v/>
      </c>
      <c r="D342" s="16">
        <f>IF(338&lt;=Calculadora!$C$9*12,B342-C342,"")</f>
        <v/>
      </c>
      <c r="E342" s="16">
        <f>IF(338&lt;=Calculadora!$C$9*12,E341-D342,"")</f>
        <v/>
      </c>
    </row>
    <row r="343">
      <c r="A343" s="15">
        <f>IF(339&lt;=Calculadora!$C$9*12,339,"")</f>
        <v/>
      </c>
      <c r="B343" s="16">
        <f>IF(339&lt;=Calculadora!$C$9*12,Calculadora!$C$12,"")</f>
        <v/>
      </c>
      <c r="C343" s="16">
        <f>IF(339&lt;=Calculadora!$C$9*12,E342*Calculadora!$C$8/1200,"")</f>
        <v/>
      </c>
      <c r="D343" s="16">
        <f>IF(339&lt;=Calculadora!$C$9*12,B343-C343,"")</f>
        <v/>
      </c>
      <c r="E343" s="16">
        <f>IF(339&lt;=Calculadora!$C$9*12,E342-D343,"")</f>
        <v/>
      </c>
    </row>
    <row r="344">
      <c r="A344" s="15">
        <f>IF(340&lt;=Calculadora!$C$9*12,340,"")</f>
        <v/>
      </c>
      <c r="B344" s="16">
        <f>IF(340&lt;=Calculadora!$C$9*12,Calculadora!$C$12,"")</f>
        <v/>
      </c>
      <c r="C344" s="16">
        <f>IF(340&lt;=Calculadora!$C$9*12,E343*Calculadora!$C$8/1200,"")</f>
        <v/>
      </c>
      <c r="D344" s="16">
        <f>IF(340&lt;=Calculadora!$C$9*12,B344-C344,"")</f>
        <v/>
      </c>
      <c r="E344" s="16">
        <f>IF(340&lt;=Calculadora!$C$9*12,E343-D344,"")</f>
        <v/>
      </c>
    </row>
    <row r="345">
      <c r="A345" s="15">
        <f>IF(341&lt;=Calculadora!$C$9*12,341,"")</f>
        <v/>
      </c>
      <c r="B345" s="16">
        <f>IF(341&lt;=Calculadora!$C$9*12,Calculadora!$C$12,"")</f>
        <v/>
      </c>
      <c r="C345" s="16">
        <f>IF(341&lt;=Calculadora!$C$9*12,E344*Calculadora!$C$8/1200,"")</f>
        <v/>
      </c>
      <c r="D345" s="16">
        <f>IF(341&lt;=Calculadora!$C$9*12,B345-C345,"")</f>
        <v/>
      </c>
      <c r="E345" s="16">
        <f>IF(341&lt;=Calculadora!$C$9*12,E344-D345,"")</f>
        <v/>
      </c>
    </row>
    <row r="346">
      <c r="A346" s="15">
        <f>IF(342&lt;=Calculadora!$C$9*12,342,"")</f>
        <v/>
      </c>
      <c r="B346" s="16">
        <f>IF(342&lt;=Calculadora!$C$9*12,Calculadora!$C$12,"")</f>
        <v/>
      </c>
      <c r="C346" s="16">
        <f>IF(342&lt;=Calculadora!$C$9*12,E345*Calculadora!$C$8/1200,"")</f>
        <v/>
      </c>
      <c r="D346" s="16">
        <f>IF(342&lt;=Calculadora!$C$9*12,B346-C346,"")</f>
        <v/>
      </c>
      <c r="E346" s="16">
        <f>IF(342&lt;=Calculadora!$C$9*12,E345-D346,"")</f>
        <v/>
      </c>
    </row>
    <row r="347">
      <c r="A347" s="15">
        <f>IF(343&lt;=Calculadora!$C$9*12,343,"")</f>
        <v/>
      </c>
      <c r="B347" s="16">
        <f>IF(343&lt;=Calculadora!$C$9*12,Calculadora!$C$12,"")</f>
        <v/>
      </c>
      <c r="C347" s="16">
        <f>IF(343&lt;=Calculadora!$C$9*12,E346*Calculadora!$C$8/1200,"")</f>
        <v/>
      </c>
      <c r="D347" s="16">
        <f>IF(343&lt;=Calculadora!$C$9*12,B347-C347,"")</f>
        <v/>
      </c>
      <c r="E347" s="16">
        <f>IF(343&lt;=Calculadora!$C$9*12,E346-D347,"")</f>
        <v/>
      </c>
    </row>
    <row r="348">
      <c r="A348" s="15">
        <f>IF(344&lt;=Calculadora!$C$9*12,344,"")</f>
        <v/>
      </c>
      <c r="B348" s="16">
        <f>IF(344&lt;=Calculadora!$C$9*12,Calculadora!$C$12,"")</f>
        <v/>
      </c>
      <c r="C348" s="16">
        <f>IF(344&lt;=Calculadora!$C$9*12,E347*Calculadora!$C$8/1200,"")</f>
        <v/>
      </c>
      <c r="D348" s="16">
        <f>IF(344&lt;=Calculadora!$C$9*12,B348-C348,"")</f>
        <v/>
      </c>
      <c r="E348" s="16">
        <f>IF(344&lt;=Calculadora!$C$9*12,E347-D348,"")</f>
        <v/>
      </c>
    </row>
    <row r="349">
      <c r="A349" s="15">
        <f>IF(345&lt;=Calculadora!$C$9*12,345,"")</f>
        <v/>
      </c>
      <c r="B349" s="16">
        <f>IF(345&lt;=Calculadora!$C$9*12,Calculadora!$C$12,"")</f>
        <v/>
      </c>
      <c r="C349" s="16">
        <f>IF(345&lt;=Calculadora!$C$9*12,E348*Calculadora!$C$8/1200,"")</f>
        <v/>
      </c>
      <c r="D349" s="16">
        <f>IF(345&lt;=Calculadora!$C$9*12,B349-C349,"")</f>
        <v/>
      </c>
      <c r="E349" s="16">
        <f>IF(345&lt;=Calculadora!$C$9*12,E348-D349,"")</f>
        <v/>
      </c>
    </row>
    <row r="350">
      <c r="A350" s="15">
        <f>IF(346&lt;=Calculadora!$C$9*12,346,"")</f>
        <v/>
      </c>
      <c r="B350" s="16">
        <f>IF(346&lt;=Calculadora!$C$9*12,Calculadora!$C$12,"")</f>
        <v/>
      </c>
      <c r="C350" s="16">
        <f>IF(346&lt;=Calculadora!$C$9*12,E349*Calculadora!$C$8/1200,"")</f>
        <v/>
      </c>
      <c r="D350" s="16">
        <f>IF(346&lt;=Calculadora!$C$9*12,B350-C350,"")</f>
        <v/>
      </c>
      <c r="E350" s="16">
        <f>IF(346&lt;=Calculadora!$C$9*12,E349-D350,"")</f>
        <v/>
      </c>
    </row>
    <row r="351">
      <c r="A351" s="15">
        <f>IF(347&lt;=Calculadora!$C$9*12,347,"")</f>
        <v/>
      </c>
      <c r="B351" s="16">
        <f>IF(347&lt;=Calculadora!$C$9*12,Calculadora!$C$12,"")</f>
        <v/>
      </c>
      <c r="C351" s="16">
        <f>IF(347&lt;=Calculadora!$C$9*12,E350*Calculadora!$C$8/1200,"")</f>
        <v/>
      </c>
      <c r="D351" s="16">
        <f>IF(347&lt;=Calculadora!$C$9*12,B351-C351,"")</f>
        <v/>
      </c>
      <c r="E351" s="16">
        <f>IF(347&lt;=Calculadora!$C$9*12,E350-D351,"")</f>
        <v/>
      </c>
    </row>
    <row r="352">
      <c r="A352" s="15">
        <f>IF(348&lt;=Calculadora!$C$9*12,348,"")</f>
        <v/>
      </c>
      <c r="B352" s="16">
        <f>IF(348&lt;=Calculadora!$C$9*12,Calculadora!$C$12,"")</f>
        <v/>
      </c>
      <c r="C352" s="16">
        <f>IF(348&lt;=Calculadora!$C$9*12,E351*Calculadora!$C$8/1200,"")</f>
        <v/>
      </c>
      <c r="D352" s="16">
        <f>IF(348&lt;=Calculadora!$C$9*12,B352-C352,"")</f>
        <v/>
      </c>
      <c r="E352" s="16">
        <f>IF(348&lt;=Calculadora!$C$9*12,E351-D352,"")</f>
        <v/>
      </c>
    </row>
    <row r="353">
      <c r="A353" s="15">
        <f>IF(349&lt;=Calculadora!$C$9*12,349,"")</f>
        <v/>
      </c>
      <c r="B353" s="16">
        <f>IF(349&lt;=Calculadora!$C$9*12,Calculadora!$C$12,"")</f>
        <v/>
      </c>
      <c r="C353" s="16">
        <f>IF(349&lt;=Calculadora!$C$9*12,E352*Calculadora!$C$8/1200,"")</f>
        <v/>
      </c>
      <c r="D353" s="16">
        <f>IF(349&lt;=Calculadora!$C$9*12,B353-C353,"")</f>
        <v/>
      </c>
      <c r="E353" s="16">
        <f>IF(349&lt;=Calculadora!$C$9*12,E352-D353,"")</f>
        <v/>
      </c>
    </row>
    <row r="354">
      <c r="A354" s="15">
        <f>IF(350&lt;=Calculadora!$C$9*12,350,"")</f>
        <v/>
      </c>
      <c r="B354" s="16">
        <f>IF(350&lt;=Calculadora!$C$9*12,Calculadora!$C$12,"")</f>
        <v/>
      </c>
      <c r="C354" s="16">
        <f>IF(350&lt;=Calculadora!$C$9*12,E353*Calculadora!$C$8/1200,"")</f>
        <v/>
      </c>
      <c r="D354" s="16">
        <f>IF(350&lt;=Calculadora!$C$9*12,B354-C354,"")</f>
        <v/>
      </c>
      <c r="E354" s="16">
        <f>IF(350&lt;=Calculadora!$C$9*12,E353-D354,"")</f>
        <v/>
      </c>
    </row>
    <row r="355">
      <c r="A355" s="15">
        <f>IF(351&lt;=Calculadora!$C$9*12,351,"")</f>
        <v/>
      </c>
      <c r="B355" s="16">
        <f>IF(351&lt;=Calculadora!$C$9*12,Calculadora!$C$12,"")</f>
        <v/>
      </c>
      <c r="C355" s="16">
        <f>IF(351&lt;=Calculadora!$C$9*12,E354*Calculadora!$C$8/1200,"")</f>
        <v/>
      </c>
      <c r="D355" s="16">
        <f>IF(351&lt;=Calculadora!$C$9*12,B355-C355,"")</f>
        <v/>
      </c>
      <c r="E355" s="16">
        <f>IF(351&lt;=Calculadora!$C$9*12,E354-D355,"")</f>
        <v/>
      </c>
    </row>
    <row r="356">
      <c r="A356" s="15">
        <f>IF(352&lt;=Calculadora!$C$9*12,352,"")</f>
        <v/>
      </c>
      <c r="B356" s="16">
        <f>IF(352&lt;=Calculadora!$C$9*12,Calculadora!$C$12,"")</f>
        <v/>
      </c>
      <c r="C356" s="16">
        <f>IF(352&lt;=Calculadora!$C$9*12,E355*Calculadora!$C$8/1200,"")</f>
        <v/>
      </c>
      <c r="D356" s="16">
        <f>IF(352&lt;=Calculadora!$C$9*12,B356-C356,"")</f>
        <v/>
      </c>
      <c r="E356" s="16">
        <f>IF(352&lt;=Calculadora!$C$9*12,E355-D356,"")</f>
        <v/>
      </c>
    </row>
    <row r="357">
      <c r="A357" s="15">
        <f>IF(353&lt;=Calculadora!$C$9*12,353,"")</f>
        <v/>
      </c>
      <c r="B357" s="16">
        <f>IF(353&lt;=Calculadora!$C$9*12,Calculadora!$C$12,"")</f>
        <v/>
      </c>
      <c r="C357" s="16">
        <f>IF(353&lt;=Calculadora!$C$9*12,E356*Calculadora!$C$8/1200,"")</f>
        <v/>
      </c>
      <c r="D357" s="16">
        <f>IF(353&lt;=Calculadora!$C$9*12,B357-C357,"")</f>
        <v/>
      </c>
      <c r="E357" s="16">
        <f>IF(353&lt;=Calculadora!$C$9*12,E356-D357,"")</f>
        <v/>
      </c>
    </row>
    <row r="358">
      <c r="A358" s="15">
        <f>IF(354&lt;=Calculadora!$C$9*12,354,"")</f>
        <v/>
      </c>
      <c r="B358" s="16">
        <f>IF(354&lt;=Calculadora!$C$9*12,Calculadora!$C$12,"")</f>
        <v/>
      </c>
      <c r="C358" s="16">
        <f>IF(354&lt;=Calculadora!$C$9*12,E357*Calculadora!$C$8/1200,"")</f>
        <v/>
      </c>
      <c r="D358" s="16">
        <f>IF(354&lt;=Calculadora!$C$9*12,B358-C358,"")</f>
        <v/>
      </c>
      <c r="E358" s="16">
        <f>IF(354&lt;=Calculadora!$C$9*12,E357-D358,"")</f>
        <v/>
      </c>
    </row>
    <row r="359">
      <c r="A359" s="15">
        <f>IF(355&lt;=Calculadora!$C$9*12,355,"")</f>
        <v/>
      </c>
      <c r="B359" s="16">
        <f>IF(355&lt;=Calculadora!$C$9*12,Calculadora!$C$12,"")</f>
        <v/>
      </c>
      <c r="C359" s="16">
        <f>IF(355&lt;=Calculadora!$C$9*12,E358*Calculadora!$C$8/1200,"")</f>
        <v/>
      </c>
      <c r="D359" s="16">
        <f>IF(355&lt;=Calculadora!$C$9*12,B359-C359,"")</f>
        <v/>
      </c>
      <c r="E359" s="16">
        <f>IF(355&lt;=Calculadora!$C$9*12,E358-D359,"")</f>
        <v/>
      </c>
    </row>
    <row r="360">
      <c r="A360" s="15">
        <f>IF(356&lt;=Calculadora!$C$9*12,356,"")</f>
        <v/>
      </c>
      <c r="B360" s="16">
        <f>IF(356&lt;=Calculadora!$C$9*12,Calculadora!$C$12,"")</f>
        <v/>
      </c>
      <c r="C360" s="16">
        <f>IF(356&lt;=Calculadora!$C$9*12,E359*Calculadora!$C$8/1200,"")</f>
        <v/>
      </c>
      <c r="D360" s="16">
        <f>IF(356&lt;=Calculadora!$C$9*12,B360-C360,"")</f>
        <v/>
      </c>
      <c r="E360" s="16">
        <f>IF(356&lt;=Calculadora!$C$9*12,E359-D360,"")</f>
        <v/>
      </c>
    </row>
    <row r="361">
      <c r="A361" s="15">
        <f>IF(357&lt;=Calculadora!$C$9*12,357,"")</f>
        <v/>
      </c>
      <c r="B361" s="16">
        <f>IF(357&lt;=Calculadora!$C$9*12,Calculadora!$C$12,"")</f>
        <v/>
      </c>
      <c r="C361" s="16">
        <f>IF(357&lt;=Calculadora!$C$9*12,E360*Calculadora!$C$8/1200,"")</f>
        <v/>
      </c>
      <c r="D361" s="16">
        <f>IF(357&lt;=Calculadora!$C$9*12,B361-C361,"")</f>
        <v/>
      </c>
      <c r="E361" s="16">
        <f>IF(357&lt;=Calculadora!$C$9*12,E360-D361,"")</f>
        <v/>
      </c>
    </row>
    <row r="362">
      <c r="A362" s="15">
        <f>IF(358&lt;=Calculadora!$C$9*12,358,"")</f>
        <v/>
      </c>
      <c r="B362" s="16">
        <f>IF(358&lt;=Calculadora!$C$9*12,Calculadora!$C$12,"")</f>
        <v/>
      </c>
      <c r="C362" s="16">
        <f>IF(358&lt;=Calculadora!$C$9*12,E361*Calculadora!$C$8/1200,"")</f>
        <v/>
      </c>
      <c r="D362" s="16">
        <f>IF(358&lt;=Calculadora!$C$9*12,B362-C362,"")</f>
        <v/>
      </c>
      <c r="E362" s="16">
        <f>IF(358&lt;=Calculadora!$C$9*12,E361-D362,"")</f>
        <v/>
      </c>
    </row>
    <row r="363">
      <c r="A363" s="15">
        <f>IF(359&lt;=Calculadora!$C$9*12,359,"")</f>
        <v/>
      </c>
      <c r="B363" s="16">
        <f>IF(359&lt;=Calculadora!$C$9*12,Calculadora!$C$12,"")</f>
        <v/>
      </c>
      <c r="C363" s="16">
        <f>IF(359&lt;=Calculadora!$C$9*12,E362*Calculadora!$C$8/1200,"")</f>
        <v/>
      </c>
      <c r="D363" s="16">
        <f>IF(359&lt;=Calculadora!$C$9*12,B363-C363,"")</f>
        <v/>
      </c>
      <c r="E363" s="16">
        <f>IF(359&lt;=Calculadora!$C$9*12,E362-D363,"")</f>
        <v/>
      </c>
    </row>
    <row r="364">
      <c r="A364" s="15">
        <f>IF(360&lt;=Calculadora!$C$9*12,360,"")</f>
        <v/>
      </c>
      <c r="B364" s="16">
        <f>IF(360&lt;=Calculadora!$C$9*12,Calculadora!$C$12,"")</f>
        <v/>
      </c>
      <c r="C364" s="16">
        <f>IF(360&lt;=Calculadora!$C$9*12,E363*Calculadora!$C$8/1200,"")</f>
        <v/>
      </c>
      <c r="D364" s="16">
        <f>IF(360&lt;=Calculadora!$C$9*12,B364-C364,"")</f>
        <v/>
      </c>
      <c r="E364" s="16">
        <f>IF(360&lt;=Calculadora!$C$9*12,E363-D364,"")</f>
        <v/>
      </c>
    </row>
    <row r="365">
      <c r="A365" s="15">
        <f>IF(361&lt;=Calculadora!$C$9*12,361,"")</f>
        <v/>
      </c>
      <c r="B365" s="16">
        <f>IF(361&lt;=Calculadora!$C$9*12,Calculadora!$C$12,"")</f>
        <v/>
      </c>
      <c r="C365" s="16">
        <f>IF(361&lt;=Calculadora!$C$9*12,E364*Calculadora!$C$8/1200,"")</f>
        <v/>
      </c>
      <c r="D365" s="16">
        <f>IF(361&lt;=Calculadora!$C$9*12,B365-C365,"")</f>
        <v/>
      </c>
      <c r="E365" s="16">
        <f>IF(361&lt;=Calculadora!$C$9*12,E364-D365,"")</f>
        <v/>
      </c>
    </row>
    <row r="366">
      <c r="A366" s="15">
        <f>IF(362&lt;=Calculadora!$C$9*12,362,"")</f>
        <v/>
      </c>
      <c r="B366" s="16">
        <f>IF(362&lt;=Calculadora!$C$9*12,Calculadora!$C$12,"")</f>
        <v/>
      </c>
      <c r="C366" s="16">
        <f>IF(362&lt;=Calculadora!$C$9*12,E365*Calculadora!$C$8/1200,"")</f>
        <v/>
      </c>
      <c r="D366" s="16">
        <f>IF(362&lt;=Calculadora!$C$9*12,B366-C366,"")</f>
        <v/>
      </c>
      <c r="E366" s="16">
        <f>IF(362&lt;=Calculadora!$C$9*12,E365-D366,"")</f>
        <v/>
      </c>
    </row>
    <row r="367">
      <c r="A367" s="15">
        <f>IF(363&lt;=Calculadora!$C$9*12,363,"")</f>
        <v/>
      </c>
      <c r="B367" s="16">
        <f>IF(363&lt;=Calculadora!$C$9*12,Calculadora!$C$12,"")</f>
        <v/>
      </c>
      <c r="C367" s="16">
        <f>IF(363&lt;=Calculadora!$C$9*12,E366*Calculadora!$C$8/1200,"")</f>
        <v/>
      </c>
      <c r="D367" s="16">
        <f>IF(363&lt;=Calculadora!$C$9*12,B367-C367,"")</f>
        <v/>
      </c>
      <c r="E367" s="16">
        <f>IF(363&lt;=Calculadora!$C$9*12,E366-D367,"")</f>
        <v/>
      </c>
    </row>
    <row r="368">
      <c r="A368" s="15">
        <f>IF(364&lt;=Calculadora!$C$9*12,364,"")</f>
        <v/>
      </c>
      <c r="B368" s="16">
        <f>IF(364&lt;=Calculadora!$C$9*12,Calculadora!$C$12,"")</f>
        <v/>
      </c>
      <c r="C368" s="16">
        <f>IF(364&lt;=Calculadora!$C$9*12,E367*Calculadora!$C$8/1200,"")</f>
        <v/>
      </c>
      <c r="D368" s="16">
        <f>IF(364&lt;=Calculadora!$C$9*12,B368-C368,"")</f>
        <v/>
      </c>
      <c r="E368" s="16">
        <f>IF(364&lt;=Calculadora!$C$9*12,E367-D368,"")</f>
        <v/>
      </c>
    </row>
    <row r="369">
      <c r="A369" s="15">
        <f>IF(365&lt;=Calculadora!$C$9*12,365,"")</f>
        <v/>
      </c>
      <c r="B369" s="16">
        <f>IF(365&lt;=Calculadora!$C$9*12,Calculadora!$C$12,"")</f>
        <v/>
      </c>
      <c r="C369" s="16">
        <f>IF(365&lt;=Calculadora!$C$9*12,E368*Calculadora!$C$8/1200,"")</f>
        <v/>
      </c>
      <c r="D369" s="16">
        <f>IF(365&lt;=Calculadora!$C$9*12,B369-C369,"")</f>
        <v/>
      </c>
      <c r="E369" s="16">
        <f>IF(365&lt;=Calculadora!$C$9*12,E368-D369,"")</f>
        <v/>
      </c>
    </row>
    <row r="370">
      <c r="A370" s="15">
        <f>IF(366&lt;=Calculadora!$C$9*12,366,"")</f>
        <v/>
      </c>
      <c r="B370" s="16">
        <f>IF(366&lt;=Calculadora!$C$9*12,Calculadora!$C$12,"")</f>
        <v/>
      </c>
      <c r="C370" s="16">
        <f>IF(366&lt;=Calculadora!$C$9*12,E369*Calculadora!$C$8/1200,"")</f>
        <v/>
      </c>
      <c r="D370" s="16">
        <f>IF(366&lt;=Calculadora!$C$9*12,B370-C370,"")</f>
        <v/>
      </c>
      <c r="E370" s="16">
        <f>IF(366&lt;=Calculadora!$C$9*12,E369-D370,"")</f>
        <v/>
      </c>
    </row>
    <row r="371">
      <c r="A371" s="15">
        <f>IF(367&lt;=Calculadora!$C$9*12,367,"")</f>
        <v/>
      </c>
      <c r="B371" s="16">
        <f>IF(367&lt;=Calculadora!$C$9*12,Calculadora!$C$12,"")</f>
        <v/>
      </c>
      <c r="C371" s="16">
        <f>IF(367&lt;=Calculadora!$C$9*12,E370*Calculadora!$C$8/1200,"")</f>
        <v/>
      </c>
      <c r="D371" s="16">
        <f>IF(367&lt;=Calculadora!$C$9*12,B371-C371,"")</f>
        <v/>
      </c>
      <c r="E371" s="16">
        <f>IF(367&lt;=Calculadora!$C$9*12,E370-D371,"")</f>
        <v/>
      </c>
    </row>
    <row r="372">
      <c r="A372" s="15">
        <f>IF(368&lt;=Calculadora!$C$9*12,368,"")</f>
        <v/>
      </c>
      <c r="B372" s="16">
        <f>IF(368&lt;=Calculadora!$C$9*12,Calculadora!$C$12,"")</f>
        <v/>
      </c>
      <c r="C372" s="16">
        <f>IF(368&lt;=Calculadora!$C$9*12,E371*Calculadora!$C$8/1200,"")</f>
        <v/>
      </c>
      <c r="D372" s="16">
        <f>IF(368&lt;=Calculadora!$C$9*12,B372-C372,"")</f>
        <v/>
      </c>
      <c r="E372" s="16">
        <f>IF(368&lt;=Calculadora!$C$9*12,E371-D372,"")</f>
        <v/>
      </c>
    </row>
    <row r="373">
      <c r="A373" s="15">
        <f>IF(369&lt;=Calculadora!$C$9*12,369,"")</f>
        <v/>
      </c>
      <c r="B373" s="16">
        <f>IF(369&lt;=Calculadora!$C$9*12,Calculadora!$C$12,"")</f>
        <v/>
      </c>
      <c r="C373" s="16">
        <f>IF(369&lt;=Calculadora!$C$9*12,E372*Calculadora!$C$8/1200,"")</f>
        <v/>
      </c>
      <c r="D373" s="16">
        <f>IF(369&lt;=Calculadora!$C$9*12,B373-C373,"")</f>
        <v/>
      </c>
      <c r="E373" s="16">
        <f>IF(369&lt;=Calculadora!$C$9*12,E372-D373,"")</f>
        <v/>
      </c>
    </row>
    <row r="374">
      <c r="A374" s="15">
        <f>IF(370&lt;=Calculadora!$C$9*12,370,"")</f>
        <v/>
      </c>
      <c r="B374" s="16">
        <f>IF(370&lt;=Calculadora!$C$9*12,Calculadora!$C$12,"")</f>
        <v/>
      </c>
      <c r="C374" s="16">
        <f>IF(370&lt;=Calculadora!$C$9*12,E373*Calculadora!$C$8/1200,"")</f>
        <v/>
      </c>
      <c r="D374" s="16">
        <f>IF(370&lt;=Calculadora!$C$9*12,B374-C374,"")</f>
        <v/>
      </c>
      <c r="E374" s="16">
        <f>IF(370&lt;=Calculadora!$C$9*12,E373-D374,"")</f>
        <v/>
      </c>
    </row>
    <row r="375">
      <c r="A375" s="15">
        <f>IF(371&lt;=Calculadora!$C$9*12,371,"")</f>
        <v/>
      </c>
      <c r="B375" s="16">
        <f>IF(371&lt;=Calculadora!$C$9*12,Calculadora!$C$12,"")</f>
        <v/>
      </c>
      <c r="C375" s="16">
        <f>IF(371&lt;=Calculadora!$C$9*12,E374*Calculadora!$C$8/1200,"")</f>
        <v/>
      </c>
      <c r="D375" s="16">
        <f>IF(371&lt;=Calculadora!$C$9*12,B375-C375,"")</f>
        <v/>
      </c>
      <c r="E375" s="16">
        <f>IF(371&lt;=Calculadora!$C$9*12,E374-D375,"")</f>
        <v/>
      </c>
    </row>
    <row r="376">
      <c r="A376" s="15">
        <f>IF(372&lt;=Calculadora!$C$9*12,372,"")</f>
        <v/>
      </c>
      <c r="B376" s="16">
        <f>IF(372&lt;=Calculadora!$C$9*12,Calculadora!$C$12,"")</f>
        <v/>
      </c>
      <c r="C376" s="16">
        <f>IF(372&lt;=Calculadora!$C$9*12,E375*Calculadora!$C$8/1200,"")</f>
        <v/>
      </c>
      <c r="D376" s="16">
        <f>IF(372&lt;=Calculadora!$C$9*12,B376-C376,"")</f>
        <v/>
      </c>
      <c r="E376" s="16">
        <f>IF(372&lt;=Calculadora!$C$9*12,E375-D376,"")</f>
        <v/>
      </c>
    </row>
    <row r="377">
      <c r="A377" s="15">
        <f>IF(373&lt;=Calculadora!$C$9*12,373,"")</f>
        <v/>
      </c>
      <c r="B377" s="16">
        <f>IF(373&lt;=Calculadora!$C$9*12,Calculadora!$C$12,"")</f>
        <v/>
      </c>
      <c r="C377" s="16">
        <f>IF(373&lt;=Calculadora!$C$9*12,E376*Calculadora!$C$8/1200,"")</f>
        <v/>
      </c>
      <c r="D377" s="16">
        <f>IF(373&lt;=Calculadora!$C$9*12,B377-C377,"")</f>
        <v/>
      </c>
      <c r="E377" s="16">
        <f>IF(373&lt;=Calculadora!$C$9*12,E376-D377,"")</f>
        <v/>
      </c>
    </row>
    <row r="378">
      <c r="A378" s="15">
        <f>IF(374&lt;=Calculadora!$C$9*12,374,"")</f>
        <v/>
      </c>
      <c r="B378" s="16">
        <f>IF(374&lt;=Calculadora!$C$9*12,Calculadora!$C$12,"")</f>
        <v/>
      </c>
      <c r="C378" s="16">
        <f>IF(374&lt;=Calculadora!$C$9*12,E377*Calculadora!$C$8/1200,"")</f>
        <v/>
      </c>
      <c r="D378" s="16">
        <f>IF(374&lt;=Calculadora!$C$9*12,B378-C378,"")</f>
        <v/>
      </c>
      <c r="E378" s="16">
        <f>IF(374&lt;=Calculadora!$C$9*12,E377-D378,"")</f>
        <v/>
      </c>
    </row>
    <row r="379">
      <c r="A379" s="15">
        <f>IF(375&lt;=Calculadora!$C$9*12,375,"")</f>
        <v/>
      </c>
      <c r="B379" s="16">
        <f>IF(375&lt;=Calculadora!$C$9*12,Calculadora!$C$12,"")</f>
        <v/>
      </c>
      <c r="C379" s="16">
        <f>IF(375&lt;=Calculadora!$C$9*12,E378*Calculadora!$C$8/1200,"")</f>
        <v/>
      </c>
      <c r="D379" s="16">
        <f>IF(375&lt;=Calculadora!$C$9*12,B379-C379,"")</f>
        <v/>
      </c>
      <c r="E379" s="16">
        <f>IF(375&lt;=Calculadora!$C$9*12,E378-D379,"")</f>
        <v/>
      </c>
    </row>
    <row r="380">
      <c r="A380" s="15">
        <f>IF(376&lt;=Calculadora!$C$9*12,376,"")</f>
        <v/>
      </c>
      <c r="B380" s="16">
        <f>IF(376&lt;=Calculadora!$C$9*12,Calculadora!$C$12,"")</f>
        <v/>
      </c>
      <c r="C380" s="16">
        <f>IF(376&lt;=Calculadora!$C$9*12,E379*Calculadora!$C$8/1200,"")</f>
        <v/>
      </c>
      <c r="D380" s="16">
        <f>IF(376&lt;=Calculadora!$C$9*12,B380-C380,"")</f>
        <v/>
      </c>
      <c r="E380" s="16">
        <f>IF(376&lt;=Calculadora!$C$9*12,E379-D380,"")</f>
        <v/>
      </c>
    </row>
    <row r="381">
      <c r="A381" s="15">
        <f>IF(377&lt;=Calculadora!$C$9*12,377,"")</f>
        <v/>
      </c>
      <c r="B381" s="16">
        <f>IF(377&lt;=Calculadora!$C$9*12,Calculadora!$C$12,"")</f>
        <v/>
      </c>
      <c r="C381" s="16">
        <f>IF(377&lt;=Calculadora!$C$9*12,E380*Calculadora!$C$8/1200,"")</f>
        <v/>
      </c>
      <c r="D381" s="16">
        <f>IF(377&lt;=Calculadora!$C$9*12,B381-C381,"")</f>
        <v/>
      </c>
      <c r="E381" s="16">
        <f>IF(377&lt;=Calculadora!$C$9*12,E380-D381,"")</f>
        <v/>
      </c>
    </row>
    <row r="382">
      <c r="A382" s="15">
        <f>IF(378&lt;=Calculadora!$C$9*12,378,"")</f>
        <v/>
      </c>
      <c r="B382" s="16">
        <f>IF(378&lt;=Calculadora!$C$9*12,Calculadora!$C$12,"")</f>
        <v/>
      </c>
      <c r="C382" s="16">
        <f>IF(378&lt;=Calculadora!$C$9*12,E381*Calculadora!$C$8/1200,"")</f>
        <v/>
      </c>
      <c r="D382" s="16">
        <f>IF(378&lt;=Calculadora!$C$9*12,B382-C382,"")</f>
        <v/>
      </c>
      <c r="E382" s="16">
        <f>IF(378&lt;=Calculadora!$C$9*12,E381-D382,"")</f>
        <v/>
      </c>
    </row>
    <row r="383">
      <c r="A383" s="15">
        <f>IF(379&lt;=Calculadora!$C$9*12,379,"")</f>
        <v/>
      </c>
      <c r="B383" s="16">
        <f>IF(379&lt;=Calculadora!$C$9*12,Calculadora!$C$12,"")</f>
        <v/>
      </c>
      <c r="C383" s="16">
        <f>IF(379&lt;=Calculadora!$C$9*12,E382*Calculadora!$C$8/1200,"")</f>
        <v/>
      </c>
      <c r="D383" s="16">
        <f>IF(379&lt;=Calculadora!$C$9*12,B383-C383,"")</f>
        <v/>
      </c>
      <c r="E383" s="16">
        <f>IF(379&lt;=Calculadora!$C$9*12,E382-D383,"")</f>
        <v/>
      </c>
    </row>
    <row r="384">
      <c r="A384" s="15">
        <f>IF(380&lt;=Calculadora!$C$9*12,380,"")</f>
        <v/>
      </c>
      <c r="B384" s="16">
        <f>IF(380&lt;=Calculadora!$C$9*12,Calculadora!$C$12,"")</f>
        <v/>
      </c>
      <c r="C384" s="16">
        <f>IF(380&lt;=Calculadora!$C$9*12,E383*Calculadora!$C$8/1200,"")</f>
        <v/>
      </c>
      <c r="D384" s="16">
        <f>IF(380&lt;=Calculadora!$C$9*12,B384-C384,"")</f>
        <v/>
      </c>
      <c r="E384" s="16">
        <f>IF(380&lt;=Calculadora!$C$9*12,E383-D384,"")</f>
        <v/>
      </c>
    </row>
    <row r="385">
      <c r="A385" s="15">
        <f>IF(381&lt;=Calculadora!$C$9*12,381,"")</f>
        <v/>
      </c>
      <c r="B385" s="16">
        <f>IF(381&lt;=Calculadora!$C$9*12,Calculadora!$C$12,"")</f>
        <v/>
      </c>
      <c r="C385" s="16">
        <f>IF(381&lt;=Calculadora!$C$9*12,E384*Calculadora!$C$8/1200,"")</f>
        <v/>
      </c>
      <c r="D385" s="16">
        <f>IF(381&lt;=Calculadora!$C$9*12,B385-C385,"")</f>
        <v/>
      </c>
      <c r="E385" s="16">
        <f>IF(381&lt;=Calculadora!$C$9*12,E384-D385,"")</f>
        <v/>
      </c>
    </row>
    <row r="386">
      <c r="A386" s="15">
        <f>IF(382&lt;=Calculadora!$C$9*12,382,"")</f>
        <v/>
      </c>
      <c r="B386" s="16">
        <f>IF(382&lt;=Calculadora!$C$9*12,Calculadora!$C$12,"")</f>
        <v/>
      </c>
      <c r="C386" s="16">
        <f>IF(382&lt;=Calculadora!$C$9*12,E385*Calculadora!$C$8/1200,"")</f>
        <v/>
      </c>
      <c r="D386" s="16">
        <f>IF(382&lt;=Calculadora!$C$9*12,B386-C386,"")</f>
        <v/>
      </c>
      <c r="E386" s="16">
        <f>IF(382&lt;=Calculadora!$C$9*12,E385-D386,"")</f>
        <v/>
      </c>
    </row>
    <row r="387">
      <c r="A387" s="15">
        <f>IF(383&lt;=Calculadora!$C$9*12,383,"")</f>
        <v/>
      </c>
      <c r="B387" s="16">
        <f>IF(383&lt;=Calculadora!$C$9*12,Calculadora!$C$12,"")</f>
        <v/>
      </c>
      <c r="C387" s="16">
        <f>IF(383&lt;=Calculadora!$C$9*12,E386*Calculadora!$C$8/1200,"")</f>
        <v/>
      </c>
      <c r="D387" s="16">
        <f>IF(383&lt;=Calculadora!$C$9*12,B387-C387,"")</f>
        <v/>
      </c>
      <c r="E387" s="16">
        <f>IF(383&lt;=Calculadora!$C$9*12,E386-D387,"")</f>
        <v/>
      </c>
    </row>
    <row r="388">
      <c r="A388" s="15">
        <f>IF(384&lt;=Calculadora!$C$9*12,384,"")</f>
        <v/>
      </c>
      <c r="B388" s="16">
        <f>IF(384&lt;=Calculadora!$C$9*12,Calculadora!$C$12,"")</f>
        <v/>
      </c>
      <c r="C388" s="16">
        <f>IF(384&lt;=Calculadora!$C$9*12,E387*Calculadora!$C$8/1200,"")</f>
        <v/>
      </c>
      <c r="D388" s="16">
        <f>IF(384&lt;=Calculadora!$C$9*12,B388-C388,"")</f>
        <v/>
      </c>
      <c r="E388" s="16">
        <f>IF(384&lt;=Calculadora!$C$9*12,E387-D388,"")</f>
        <v/>
      </c>
    </row>
    <row r="389">
      <c r="A389" s="15">
        <f>IF(385&lt;=Calculadora!$C$9*12,385,"")</f>
        <v/>
      </c>
      <c r="B389" s="16">
        <f>IF(385&lt;=Calculadora!$C$9*12,Calculadora!$C$12,"")</f>
        <v/>
      </c>
      <c r="C389" s="16">
        <f>IF(385&lt;=Calculadora!$C$9*12,E388*Calculadora!$C$8/1200,"")</f>
        <v/>
      </c>
      <c r="D389" s="16">
        <f>IF(385&lt;=Calculadora!$C$9*12,B389-C389,"")</f>
        <v/>
      </c>
      <c r="E389" s="16">
        <f>IF(385&lt;=Calculadora!$C$9*12,E388-D389,"")</f>
        <v/>
      </c>
    </row>
    <row r="390">
      <c r="A390" s="15">
        <f>IF(386&lt;=Calculadora!$C$9*12,386,"")</f>
        <v/>
      </c>
      <c r="B390" s="16">
        <f>IF(386&lt;=Calculadora!$C$9*12,Calculadora!$C$12,"")</f>
        <v/>
      </c>
      <c r="C390" s="16">
        <f>IF(386&lt;=Calculadora!$C$9*12,E389*Calculadora!$C$8/1200,"")</f>
        <v/>
      </c>
      <c r="D390" s="16">
        <f>IF(386&lt;=Calculadora!$C$9*12,B390-C390,"")</f>
        <v/>
      </c>
      <c r="E390" s="16">
        <f>IF(386&lt;=Calculadora!$C$9*12,E389-D390,"")</f>
        <v/>
      </c>
    </row>
    <row r="391">
      <c r="A391" s="15">
        <f>IF(387&lt;=Calculadora!$C$9*12,387,"")</f>
        <v/>
      </c>
      <c r="B391" s="16">
        <f>IF(387&lt;=Calculadora!$C$9*12,Calculadora!$C$12,"")</f>
        <v/>
      </c>
      <c r="C391" s="16">
        <f>IF(387&lt;=Calculadora!$C$9*12,E390*Calculadora!$C$8/1200,"")</f>
        <v/>
      </c>
      <c r="D391" s="16">
        <f>IF(387&lt;=Calculadora!$C$9*12,B391-C391,"")</f>
        <v/>
      </c>
      <c r="E391" s="16">
        <f>IF(387&lt;=Calculadora!$C$9*12,E390-D391,"")</f>
        <v/>
      </c>
    </row>
    <row r="392">
      <c r="A392" s="15">
        <f>IF(388&lt;=Calculadora!$C$9*12,388,"")</f>
        <v/>
      </c>
      <c r="B392" s="16">
        <f>IF(388&lt;=Calculadora!$C$9*12,Calculadora!$C$12,"")</f>
        <v/>
      </c>
      <c r="C392" s="16">
        <f>IF(388&lt;=Calculadora!$C$9*12,E391*Calculadora!$C$8/1200,"")</f>
        <v/>
      </c>
      <c r="D392" s="16">
        <f>IF(388&lt;=Calculadora!$C$9*12,B392-C392,"")</f>
        <v/>
      </c>
      <c r="E392" s="16">
        <f>IF(388&lt;=Calculadora!$C$9*12,E391-D392,"")</f>
        <v/>
      </c>
    </row>
    <row r="393">
      <c r="A393" s="15">
        <f>IF(389&lt;=Calculadora!$C$9*12,389,"")</f>
        <v/>
      </c>
      <c r="B393" s="16">
        <f>IF(389&lt;=Calculadora!$C$9*12,Calculadora!$C$12,"")</f>
        <v/>
      </c>
      <c r="C393" s="16">
        <f>IF(389&lt;=Calculadora!$C$9*12,E392*Calculadora!$C$8/1200,"")</f>
        <v/>
      </c>
      <c r="D393" s="16">
        <f>IF(389&lt;=Calculadora!$C$9*12,B393-C393,"")</f>
        <v/>
      </c>
      <c r="E393" s="16">
        <f>IF(389&lt;=Calculadora!$C$9*12,E392-D393,"")</f>
        <v/>
      </c>
    </row>
    <row r="394">
      <c r="A394" s="15">
        <f>IF(390&lt;=Calculadora!$C$9*12,390,"")</f>
        <v/>
      </c>
      <c r="B394" s="16">
        <f>IF(390&lt;=Calculadora!$C$9*12,Calculadora!$C$12,"")</f>
        <v/>
      </c>
      <c r="C394" s="16">
        <f>IF(390&lt;=Calculadora!$C$9*12,E393*Calculadora!$C$8/1200,"")</f>
        <v/>
      </c>
      <c r="D394" s="16">
        <f>IF(390&lt;=Calculadora!$C$9*12,B394-C394,"")</f>
        <v/>
      </c>
      <c r="E394" s="16">
        <f>IF(390&lt;=Calculadora!$C$9*12,E393-D394,"")</f>
        <v/>
      </c>
    </row>
    <row r="395">
      <c r="A395" s="15">
        <f>IF(391&lt;=Calculadora!$C$9*12,391,"")</f>
        <v/>
      </c>
      <c r="B395" s="16">
        <f>IF(391&lt;=Calculadora!$C$9*12,Calculadora!$C$12,"")</f>
        <v/>
      </c>
      <c r="C395" s="16">
        <f>IF(391&lt;=Calculadora!$C$9*12,E394*Calculadora!$C$8/1200,"")</f>
        <v/>
      </c>
      <c r="D395" s="16">
        <f>IF(391&lt;=Calculadora!$C$9*12,B395-C395,"")</f>
        <v/>
      </c>
      <c r="E395" s="16">
        <f>IF(391&lt;=Calculadora!$C$9*12,E394-D395,"")</f>
        <v/>
      </c>
    </row>
    <row r="396">
      <c r="A396" s="15">
        <f>IF(392&lt;=Calculadora!$C$9*12,392,"")</f>
        <v/>
      </c>
      <c r="B396" s="16">
        <f>IF(392&lt;=Calculadora!$C$9*12,Calculadora!$C$12,"")</f>
        <v/>
      </c>
      <c r="C396" s="16">
        <f>IF(392&lt;=Calculadora!$C$9*12,E395*Calculadora!$C$8/1200,"")</f>
        <v/>
      </c>
      <c r="D396" s="16">
        <f>IF(392&lt;=Calculadora!$C$9*12,B396-C396,"")</f>
        <v/>
      </c>
      <c r="E396" s="16">
        <f>IF(392&lt;=Calculadora!$C$9*12,E395-D396,"")</f>
        <v/>
      </c>
    </row>
    <row r="397">
      <c r="A397" s="15">
        <f>IF(393&lt;=Calculadora!$C$9*12,393,"")</f>
        <v/>
      </c>
      <c r="B397" s="16">
        <f>IF(393&lt;=Calculadora!$C$9*12,Calculadora!$C$12,"")</f>
        <v/>
      </c>
      <c r="C397" s="16">
        <f>IF(393&lt;=Calculadora!$C$9*12,E396*Calculadora!$C$8/1200,"")</f>
        <v/>
      </c>
      <c r="D397" s="16">
        <f>IF(393&lt;=Calculadora!$C$9*12,B397-C397,"")</f>
        <v/>
      </c>
      <c r="E397" s="16">
        <f>IF(393&lt;=Calculadora!$C$9*12,E396-D397,"")</f>
        <v/>
      </c>
    </row>
    <row r="398">
      <c r="A398" s="15">
        <f>IF(394&lt;=Calculadora!$C$9*12,394,"")</f>
        <v/>
      </c>
      <c r="B398" s="16">
        <f>IF(394&lt;=Calculadora!$C$9*12,Calculadora!$C$12,"")</f>
        <v/>
      </c>
      <c r="C398" s="16">
        <f>IF(394&lt;=Calculadora!$C$9*12,E397*Calculadora!$C$8/1200,"")</f>
        <v/>
      </c>
      <c r="D398" s="16">
        <f>IF(394&lt;=Calculadora!$C$9*12,B398-C398,"")</f>
        <v/>
      </c>
      <c r="E398" s="16">
        <f>IF(394&lt;=Calculadora!$C$9*12,E397-D398,"")</f>
        <v/>
      </c>
    </row>
    <row r="399">
      <c r="A399" s="15">
        <f>IF(395&lt;=Calculadora!$C$9*12,395,"")</f>
        <v/>
      </c>
      <c r="B399" s="16">
        <f>IF(395&lt;=Calculadora!$C$9*12,Calculadora!$C$12,"")</f>
        <v/>
      </c>
      <c r="C399" s="16">
        <f>IF(395&lt;=Calculadora!$C$9*12,E398*Calculadora!$C$8/1200,"")</f>
        <v/>
      </c>
      <c r="D399" s="16">
        <f>IF(395&lt;=Calculadora!$C$9*12,B399-C399,"")</f>
        <v/>
      </c>
      <c r="E399" s="16">
        <f>IF(395&lt;=Calculadora!$C$9*12,E398-D399,"")</f>
        <v/>
      </c>
    </row>
    <row r="400">
      <c r="A400" s="15">
        <f>IF(396&lt;=Calculadora!$C$9*12,396,"")</f>
        <v/>
      </c>
      <c r="B400" s="16">
        <f>IF(396&lt;=Calculadora!$C$9*12,Calculadora!$C$12,"")</f>
        <v/>
      </c>
      <c r="C400" s="16">
        <f>IF(396&lt;=Calculadora!$C$9*12,E399*Calculadora!$C$8/1200,"")</f>
        <v/>
      </c>
      <c r="D400" s="16">
        <f>IF(396&lt;=Calculadora!$C$9*12,B400-C400,"")</f>
        <v/>
      </c>
      <c r="E400" s="16">
        <f>IF(396&lt;=Calculadora!$C$9*12,E399-D400,"")</f>
        <v/>
      </c>
    </row>
    <row r="401">
      <c r="A401" s="15">
        <f>IF(397&lt;=Calculadora!$C$9*12,397,"")</f>
        <v/>
      </c>
      <c r="B401" s="16">
        <f>IF(397&lt;=Calculadora!$C$9*12,Calculadora!$C$12,"")</f>
        <v/>
      </c>
      <c r="C401" s="16">
        <f>IF(397&lt;=Calculadora!$C$9*12,E400*Calculadora!$C$8/1200,"")</f>
        <v/>
      </c>
      <c r="D401" s="16">
        <f>IF(397&lt;=Calculadora!$C$9*12,B401-C401,"")</f>
        <v/>
      </c>
      <c r="E401" s="16">
        <f>IF(397&lt;=Calculadora!$C$9*12,E400-D401,"")</f>
        <v/>
      </c>
    </row>
    <row r="402">
      <c r="A402" s="15">
        <f>IF(398&lt;=Calculadora!$C$9*12,398,"")</f>
        <v/>
      </c>
      <c r="B402" s="16">
        <f>IF(398&lt;=Calculadora!$C$9*12,Calculadora!$C$12,"")</f>
        <v/>
      </c>
      <c r="C402" s="16">
        <f>IF(398&lt;=Calculadora!$C$9*12,E401*Calculadora!$C$8/1200,"")</f>
        <v/>
      </c>
      <c r="D402" s="16">
        <f>IF(398&lt;=Calculadora!$C$9*12,B402-C402,"")</f>
        <v/>
      </c>
      <c r="E402" s="16">
        <f>IF(398&lt;=Calculadora!$C$9*12,E401-D402,"")</f>
        <v/>
      </c>
    </row>
    <row r="403">
      <c r="A403" s="15">
        <f>IF(399&lt;=Calculadora!$C$9*12,399,"")</f>
        <v/>
      </c>
      <c r="B403" s="16">
        <f>IF(399&lt;=Calculadora!$C$9*12,Calculadora!$C$12,"")</f>
        <v/>
      </c>
      <c r="C403" s="16">
        <f>IF(399&lt;=Calculadora!$C$9*12,E402*Calculadora!$C$8/1200,"")</f>
        <v/>
      </c>
      <c r="D403" s="16">
        <f>IF(399&lt;=Calculadora!$C$9*12,B403-C403,"")</f>
        <v/>
      </c>
      <c r="E403" s="16">
        <f>IF(399&lt;=Calculadora!$C$9*12,E402-D403,"")</f>
        <v/>
      </c>
    </row>
    <row r="404">
      <c r="A404" s="15">
        <f>IF(400&lt;=Calculadora!$C$9*12,400,"")</f>
        <v/>
      </c>
      <c r="B404" s="16">
        <f>IF(400&lt;=Calculadora!$C$9*12,Calculadora!$C$12,"")</f>
        <v/>
      </c>
      <c r="C404" s="16">
        <f>IF(400&lt;=Calculadora!$C$9*12,E403*Calculadora!$C$8/1200,"")</f>
        <v/>
      </c>
      <c r="D404" s="16">
        <f>IF(400&lt;=Calculadora!$C$9*12,B404-C404,"")</f>
        <v/>
      </c>
      <c r="E404" s="16">
        <f>IF(400&lt;=Calculadora!$C$9*12,E403-D404,"")</f>
        <v/>
      </c>
    </row>
    <row r="405">
      <c r="A405" s="15">
        <f>IF(401&lt;=Calculadora!$C$9*12,401,"")</f>
        <v/>
      </c>
      <c r="B405" s="16">
        <f>IF(401&lt;=Calculadora!$C$9*12,Calculadora!$C$12,"")</f>
        <v/>
      </c>
      <c r="C405" s="16">
        <f>IF(401&lt;=Calculadora!$C$9*12,E404*Calculadora!$C$8/1200,"")</f>
        <v/>
      </c>
      <c r="D405" s="16">
        <f>IF(401&lt;=Calculadora!$C$9*12,B405-C405,"")</f>
        <v/>
      </c>
      <c r="E405" s="16">
        <f>IF(401&lt;=Calculadora!$C$9*12,E404-D405,"")</f>
        <v/>
      </c>
    </row>
    <row r="406">
      <c r="A406" s="15">
        <f>IF(402&lt;=Calculadora!$C$9*12,402,"")</f>
        <v/>
      </c>
      <c r="B406" s="16">
        <f>IF(402&lt;=Calculadora!$C$9*12,Calculadora!$C$12,"")</f>
        <v/>
      </c>
      <c r="C406" s="16">
        <f>IF(402&lt;=Calculadora!$C$9*12,E405*Calculadora!$C$8/1200,"")</f>
        <v/>
      </c>
      <c r="D406" s="16">
        <f>IF(402&lt;=Calculadora!$C$9*12,B406-C406,"")</f>
        <v/>
      </c>
      <c r="E406" s="16">
        <f>IF(402&lt;=Calculadora!$C$9*12,E405-D406,"")</f>
        <v/>
      </c>
    </row>
    <row r="407">
      <c r="A407" s="15">
        <f>IF(403&lt;=Calculadora!$C$9*12,403,"")</f>
        <v/>
      </c>
      <c r="B407" s="16">
        <f>IF(403&lt;=Calculadora!$C$9*12,Calculadora!$C$12,"")</f>
        <v/>
      </c>
      <c r="C407" s="16">
        <f>IF(403&lt;=Calculadora!$C$9*12,E406*Calculadora!$C$8/1200,"")</f>
        <v/>
      </c>
      <c r="D407" s="16">
        <f>IF(403&lt;=Calculadora!$C$9*12,B407-C407,"")</f>
        <v/>
      </c>
      <c r="E407" s="16">
        <f>IF(403&lt;=Calculadora!$C$9*12,E406-D407,"")</f>
        <v/>
      </c>
    </row>
    <row r="408">
      <c r="A408" s="15">
        <f>IF(404&lt;=Calculadora!$C$9*12,404,"")</f>
        <v/>
      </c>
      <c r="B408" s="16">
        <f>IF(404&lt;=Calculadora!$C$9*12,Calculadora!$C$12,"")</f>
        <v/>
      </c>
      <c r="C408" s="16">
        <f>IF(404&lt;=Calculadora!$C$9*12,E407*Calculadora!$C$8/1200,"")</f>
        <v/>
      </c>
      <c r="D408" s="16">
        <f>IF(404&lt;=Calculadora!$C$9*12,B408-C408,"")</f>
        <v/>
      </c>
      <c r="E408" s="16">
        <f>IF(404&lt;=Calculadora!$C$9*12,E407-D408,"")</f>
        <v/>
      </c>
    </row>
    <row r="409">
      <c r="A409" s="15">
        <f>IF(405&lt;=Calculadora!$C$9*12,405,"")</f>
        <v/>
      </c>
      <c r="B409" s="16">
        <f>IF(405&lt;=Calculadora!$C$9*12,Calculadora!$C$12,"")</f>
        <v/>
      </c>
      <c r="C409" s="16">
        <f>IF(405&lt;=Calculadora!$C$9*12,E408*Calculadora!$C$8/1200,"")</f>
        <v/>
      </c>
      <c r="D409" s="16">
        <f>IF(405&lt;=Calculadora!$C$9*12,B409-C409,"")</f>
        <v/>
      </c>
      <c r="E409" s="16">
        <f>IF(405&lt;=Calculadora!$C$9*12,E408-D409,"")</f>
        <v/>
      </c>
    </row>
    <row r="410">
      <c r="A410" s="15">
        <f>IF(406&lt;=Calculadora!$C$9*12,406,"")</f>
        <v/>
      </c>
      <c r="B410" s="16">
        <f>IF(406&lt;=Calculadora!$C$9*12,Calculadora!$C$12,"")</f>
        <v/>
      </c>
      <c r="C410" s="16">
        <f>IF(406&lt;=Calculadora!$C$9*12,E409*Calculadora!$C$8/1200,"")</f>
        <v/>
      </c>
      <c r="D410" s="16">
        <f>IF(406&lt;=Calculadora!$C$9*12,B410-C410,"")</f>
        <v/>
      </c>
      <c r="E410" s="16">
        <f>IF(406&lt;=Calculadora!$C$9*12,E409-D410,"")</f>
        <v/>
      </c>
    </row>
    <row r="411">
      <c r="A411" s="15">
        <f>IF(407&lt;=Calculadora!$C$9*12,407,"")</f>
        <v/>
      </c>
      <c r="B411" s="16">
        <f>IF(407&lt;=Calculadora!$C$9*12,Calculadora!$C$12,"")</f>
        <v/>
      </c>
      <c r="C411" s="16">
        <f>IF(407&lt;=Calculadora!$C$9*12,E410*Calculadora!$C$8/1200,"")</f>
        <v/>
      </c>
      <c r="D411" s="16">
        <f>IF(407&lt;=Calculadora!$C$9*12,B411-C411,"")</f>
        <v/>
      </c>
      <c r="E411" s="16">
        <f>IF(407&lt;=Calculadora!$C$9*12,E410-D411,"")</f>
        <v/>
      </c>
    </row>
    <row r="412">
      <c r="A412" s="15">
        <f>IF(408&lt;=Calculadora!$C$9*12,408,"")</f>
        <v/>
      </c>
      <c r="B412" s="16">
        <f>IF(408&lt;=Calculadora!$C$9*12,Calculadora!$C$12,"")</f>
        <v/>
      </c>
      <c r="C412" s="16">
        <f>IF(408&lt;=Calculadora!$C$9*12,E411*Calculadora!$C$8/1200,"")</f>
        <v/>
      </c>
      <c r="D412" s="16">
        <f>IF(408&lt;=Calculadora!$C$9*12,B412-C412,"")</f>
        <v/>
      </c>
      <c r="E412" s="16">
        <f>IF(408&lt;=Calculadora!$C$9*12,E411-D412,"")</f>
        <v/>
      </c>
    </row>
    <row r="413">
      <c r="A413" s="15">
        <f>IF(409&lt;=Calculadora!$C$9*12,409,"")</f>
        <v/>
      </c>
      <c r="B413" s="16">
        <f>IF(409&lt;=Calculadora!$C$9*12,Calculadora!$C$12,"")</f>
        <v/>
      </c>
      <c r="C413" s="16">
        <f>IF(409&lt;=Calculadora!$C$9*12,E412*Calculadora!$C$8/1200,"")</f>
        <v/>
      </c>
      <c r="D413" s="16">
        <f>IF(409&lt;=Calculadora!$C$9*12,B413-C413,"")</f>
        <v/>
      </c>
      <c r="E413" s="16">
        <f>IF(409&lt;=Calculadora!$C$9*12,E412-D413,"")</f>
        <v/>
      </c>
    </row>
    <row r="414">
      <c r="A414" s="15">
        <f>IF(410&lt;=Calculadora!$C$9*12,410,"")</f>
        <v/>
      </c>
      <c r="B414" s="16">
        <f>IF(410&lt;=Calculadora!$C$9*12,Calculadora!$C$12,"")</f>
        <v/>
      </c>
      <c r="C414" s="16">
        <f>IF(410&lt;=Calculadora!$C$9*12,E413*Calculadora!$C$8/1200,"")</f>
        <v/>
      </c>
      <c r="D414" s="16">
        <f>IF(410&lt;=Calculadora!$C$9*12,B414-C414,"")</f>
        <v/>
      </c>
      <c r="E414" s="16">
        <f>IF(410&lt;=Calculadora!$C$9*12,E413-D414,"")</f>
        <v/>
      </c>
    </row>
    <row r="415">
      <c r="A415" s="15">
        <f>IF(411&lt;=Calculadora!$C$9*12,411,"")</f>
        <v/>
      </c>
      <c r="B415" s="16">
        <f>IF(411&lt;=Calculadora!$C$9*12,Calculadora!$C$12,"")</f>
        <v/>
      </c>
      <c r="C415" s="16">
        <f>IF(411&lt;=Calculadora!$C$9*12,E414*Calculadora!$C$8/1200,"")</f>
        <v/>
      </c>
      <c r="D415" s="16">
        <f>IF(411&lt;=Calculadora!$C$9*12,B415-C415,"")</f>
        <v/>
      </c>
      <c r="E415" s="16">
        <f>IF(411&lt;=Calculadora!$C$9*12,E414-D415,"")</f>
        <v/>
      </c>
    </row>
    <row r="416">
      <c r="A416" s="15">
        <f>IF(412&lt;=Calculadora!$C$9*12,412,"")</f>
        <v/>
      </c>
      <c r="B416" s="16">
        <f>IF(412&lt;=Calculadora!$C$9*12,Calculadora!$C$12,"")</f>
        <v/>
      </c>
      <c r="C416" s="16">
        <f>IF(412&lt;=Calculadora!$C$9*12,E415*Calculadora!$C$8/1200,"")</f>
        <v/>
      </c>
      <c r="D416" s="16">
        <f>IF(412&lt;=Calculadora!$C$9*12,B416-C416,"")</f>
        <v/>
      </c>
      <c r="E416" s="16">
        <f>IF(412&lt;=Calculadora!$C$9*12,E415-D416,"")</f>
        <v/>
      </c>
    </row>
    <row r="417">
      <c r="A417" s="15">
        <f>IF(413&lt;=Calculadora!$C$9*12,413,"")</f>
        <v/>
      </c>
      <c r="B417" s="16">
        <f>IF(413&lt;=Calculadora!$C$9*12,Calculadora!$C$12,"")</f>
        <v/>
      </c>
      <c r="C417" s="16">
        <f>IF(413&lt;=Calculadora!$C$9*12,E416*Calculadora!$C$8/1200,"")</f>
        <v/>
      </c>
      <c r="D417" s="16">
        <f>IF(413&lt;=Calculadora!$C$9*12,B417-C417,"")</f>
        <v/>
      </c>
      <c r="E417" s="16">
        <f>IF(413&lt;=Calculadora!$C$9*12,E416-D417,"")</f>
        <v/>
      </c>
    </row>
    <row r="418">
      <c r="A418" s="15">
        <f>IF(414&lt;=Calculadora!$C$9*12,414,"")</f>
        <v/>
      </c>
      <c r="B418" s="16">
        <f>IF(414&lt;=Calculadora!$C$9*12,Calculadora!$C$12,"")</f>
        <v/>
      </c>
      <c r="C418" s="16">
        <f>IF(414&lt;=Calculadora!$C$9*12,E417*Calculadora!$C$8/1200,"")</f>
        <v/>
      </c>
      <c r="D418" s="16">
        <f>IF(414&lt;=Calculadora!$C$9*12,B418-C418,"")</f>
        <v/>
      </c>
      <c r="E418" s="16">
        <f>IF(414&lt;=Calculadora!$C$9*12,E417-D418,"")</f>
        <v/>
      </c>
    </row>
    <row r="419">
      <c r="A419" s="15">
        <f>IF(415&lt;=Calculadora!$C$9*12,415,"")</f>
        <v/>
      </c>
      <c r="B419" s="16">
        <f>IF(415&lt;=Calculadora!$C$9*12,Calculadora!$C$12,"")</f>
        <v/>
      </c>
      <c r="C419" s="16">
        <f>IF(415&lt;=Calculadora!$C$9*12,E418*Calculadora!$C$8/1200,"")</f>
        <v/>
      </c>
      <c r="D419" s="16">
        <f>IF(415&lt;=Calculadora!$C$9*12,B419-C419,"")</f>
        <v/>
      </c>
      <c r="E419" s="16">
        <f>IF(415&lt;=Calculadora!$C$9*12,E418-D419,"")</f>
        <v/>
      </c>
    </row>
    <row r="420">
      <c r="A420" s="15">
        <f>IF(416&lt;=Calculadora!$C$9*12,416,"")</f>
        <v/>
      </c>
      <c r="B420" s="16">
        <f>IF(416&lt;=Calculadora!$C$9*12,Calculadora!$C$12,"")</f>
        <v/>
      </c>
      <c r="C420" s="16">
        <f>IF(416&lt;=Calculadora!$C$9*12,E419*Calculadora!$C$8/1200,"")</f>
        <v/>
      </c>
      <c r="D420" s="16">
        <f>IF(416&lt;=Calculadora!$C$9*12,B420-C420,"")</f>
        <v/>
      </c>
      <c r="E420" s="16">
        <f>IF(416&lt;=Calculadora!$C$9*12,E419-D420,"")</f>
        <v/>
      </c>
    </row>
    <row r="421">
      <c r="A421" s="15">
        <f>IF(417&lt;=Calculadora!$C$9*12,417,"")</f>
        <v/>
      </c>
      <c r="B421" s="16">
        <f>IF(417&lt;=Calculadora!$C$9*12,Calculadora!$C$12,"")</f>
        <v/>
      </c>
      <c r="C421" s="16">
        <f>IF(417&lt;=Calculadora!$C$9*12,E420*Calculadora!$C$8/1200,"")</f>
        <v/>
      </c>
      <c r="D421" s="16">
        <f>IF(417&lt;=Calculadora!$C$9*12,B421-C421,"")</f>
        <v/>
      </c>
      <c r="E421" s="16">
        <f>IF(417&lt;=Calculadora!$C$9*12,E420-D421,"")</f>
        <v/>
      </c>
    </row>
    <row r="422">
      <c r="A422" s="15">
        <f>IF(418&lt;=Calculadora!$C$9*12,418,"")</f>
        <v/>
      </c>
      <c r="B422" s="16">
        <f>IF(418&lt;=Calculadora!$C$9*12,Calculadora!$C$12,"")</f>
        <v/>
      </c>
      <c r="C422" s="16">
        <f>IF(418&lt;=Calculadora!$C$9*12,E421*Calculadora!$C$8/1200,"")</f>
        <v/>
      </c>
      <c r="D422" s="16">
        <f>IF(418&lt;=Calculadora!$C$9*12,B422-C422,"")</f>
        <v/>
      </c>
      <c r="E422" s="16">
        <f>IF(418&lt;=Calculadora!$C$9*12,E421-D422,"")</f>
        <v/>
      </c>
    </row>
    <row r="423">
      <c r="A423" s="15">
        <f>IF(419&lt;=Calculadora!$C$9*12,419,"")</f>
        <v/>
      </c>
      <c r="B423" s="16">
        <f>IF(419&lt;=Calculadora!$C$9*12,Calculadora!$C$12,"")</f>
        <v/>
      </c>
      <c r="C423" s="16">
        <f>IF(419&lt;=Calculadora!$C$9*12,E422*Calculadora!$C$8/1200,"")</f>
        <v/>
      </c>
      <c r="D423" s="16">
        <f>IF(419&lt;=Calculadora!$C$9*12,B423-C423,"")</f>
        <v/>
      </c>
      <c r="E423" s="16">
        <f>IF(419&lt;=Calculadora!$C$9*12,E422-D423,"")</f>
        <v/>
      </c>
    </row>
    <row r="424">
      <c r="A424" s="15">
        <f>IF(420&lt;=Calculadora!$C$9*12,420,"")</f>
        <v/>
      </c>
      <c r="B424" s="16">
        <f>IF(420&lt;=Calculadora!$C$9*12,Calculadora!$C$12,"")</f>
        <v/>
      </c>
      <c r="C424" s="16">
        <f>IF(420&lt;=Calculadora!$C$9*12,E423*Calculadora!$C$8/1200,"")</f>
        <v/>
      </c>
      <c r="D424" s="16">
        <f>IF(420&lt;=Calculadora!$C$9*12,B424-C424,"")</f>
        <v/>
      </c>
      <c r="E424" s="16">
        <f>IF(420&lt;=Calculadora!$C$9*12,E423-D424,"")</f>
        <v/>
      </c>
    </row>
    <row r="425">
      <c r="A425" s="15">
        <f>IF(421&lt;=Calculadora!$C$9*12,421,"")</f>
        <v/>
      </c>
      <c r="B425" s="16">
        <f>IF(421&lt;=Calculadora!$C$9*12,Calculadora!$C$12,"")</f>
        <v/>
      </c>
      <c r="C425" s="16">
        <f>IF(421&lt;=Calculadora!$C$9*12,E424*Calculadora!$C$8/1200,"")</f>
        <v/>
      </c>
      <c r="D425" s="16">
        <f>IF(421&lt;=Calculadora!$C$9*12,B425-C425,"")</f>
        <v/>
      </c>
      <c r="E425" s="16">
        <f>IF(421&lt;=Calculadora!$C$9*12,E424-D425,"")</f>
        <v/>
      </c>
    </row>
    <row r="426">
      <c r="A426" s="15">
        <f>IF(422&lt;=Calculadora!$C$9*12,422,"")</f>
        <v/>
      </c>
      <c r="B426" s="16">
        <f>IF(422&lt;=Calculadora!$C$9*12,Calculadora!$C$12,"")</f>
        <v/>
      </c>
      <c r="C426" s="16">
        <f>IF(422&lt;=Calculadora!$C$9*12,E425*Calculadora!$C$8/1200,"")</f>
        <v/>
      </c>
      <c r="D426" s="16">
        <f>IF(422&lt;=Calculadora!$C$9*12,B426-C426,"")</f>
        <v/>
      </c>
      <c r="E426" s="16">
        <f>IF(422&lt;=Calculadora!$C$9*12,E425-D426,"")</f>
        <v/>
      </c>
    </row>
    <row r="427">
      <c r="A427" s="15">
        <f>IF(423&lt;=Calculadora!$C$9*12,423,"")</f>
        <v/>
      </c>
      <c r="B427" s="16">
        <f>IF(423&lt;=Calculadora!$C$9*12,Calculadora!$C$12,"")</f>
        <v/>
      </c>
      <c r="C427" s="16">
        <f>IF(423&lt;=Calculadora!$C$9*12,E426*Calculadora!$C$8/1200,"")</f>
        <v/>
      </c>
      <c r="D427" s="16">
        <f>IF(423&lt;=Calculadora!$C$9*12,B427-C427,"")</f>
        <v/>
      </c>
      <c r="E427" s="16">
        <f>IF(423&lt;=Calculadora!$C$9*12,E426-D427,"")</f>
        <v/>
      </c>
    </row>
    <row r="428">
      <c r="A428" s="15">
        <f>IF(424&lt;=Calculadora!$C$9*12,424,"")</f>
        <v/>
      </c>
      <c r="B428" s="16">
        <f>IF(424&lt;=Calculadora!$C$9*12,Calculadora!$C$12,"")</f>
        <v/>
      </c>
      <c r="C428" s="16">
        <f>IF(424&lt;=Calculadora!$C$9*12,E427*Calculadora!$C$8/1200,"")</f>
        <v/>
      </c>
      <c r="D428" s="16">
        <f>IF(424&lt;=Calculadora!$C$9*12,B428-C428,"")</f>
        <v/>
      </c>
      <c r="E428" s="16">
        <f>IF(424&lt;=Calculadora!$C$9*12,E427-D428,"")</f>
        <v/>
      </c>
    </row>
    <row r="429">
      <c r="A429" s="15">
        <f>IF(425&lt;=Calculadora!$C$9*12,425,"")</f>
        <v/>
      </c>
      <c r="B429" s="16">
        <f>IF(425&lt;=Calculadora!$C$9*12,Calculadora!$C$12,"")</f>
        <v/>
      </c>
      <c r="C429" s="16">
        <f>IF(425&lt;=Calculadora!$C$9*12,E428*Calculadora!$C$8/1200,"")</f>
        <v/>
      </c>
      <c r="D429" s="16">
        <f>IF(425&lt;=Calculadora!$C$9*12,B429-C429,"")</f>
        <v/>
      </c>
      <c r="E429" s="16">
        <f>IF(425&lt;=Calculadora!$C$9*12,E428-D429,"")</f>
        <v/>
      </c>
    </row>
    <row r="430">
      <c r="A430" s="15">
        <f>IF(426&lt;=Calculadora!$C$9*12,426,"")</f>
        <v/>
      </c>
      <c r="B430" s="16">
        <f>IF(426&lt;=Calculadora!$C$9*12,Calculadora!$C$12,"")</f>
        <v/>
      </c>
      <c r="C430" s="16">
        <f>IF(426&lt;=Calculadora!$C$9*12,E429*Calculadora!$C$8/1200,"")</f>
        <v/>
      </c>
      <c r="D430" s="16">
        <f>IF(426&lt;=Calculadora!$C$9*12,B430-C430,"")</f>
        <v/>
      </c>
      <c r="E430" s="16">
        <f>IF(426&lt;=Calculadora!$C$9*12,E429-D430,"")</f>
        <v/>
      </c>
    </row>
    <row r="431">
      <c r="A431" s="15">
        <f>IF(427&lt;=Calculadora!$C$9*12,427,"")</f>
        <v/>
      </c>
      <c r="B431" s="16">
        <f>IF(427&lt;=Calculadora!$C$9*12,Calculadora!$C$12,"")</f>
        <v/>
      </c>
      <c r="C431" s="16">
        <f>IF(427&lt;=Calculadora!$C$9*12,E430*Calculadora!$C$8/1200,"")</f>
        <v/>
      </c>
      <c r="D431" s="16">
        <f>IF(427&lt;=Calculadora!$C$9*12,B431-C431,"")</f>
        <v/>
      </c>
      <c r="E431" s="16">
        <f>IF(427&lt;=Calculadora!$C$9*12,E430-D431,"")</f>
        <v/>
      </c>
    </row>
    <row r="432">
      <c r="A432" s="15">
        <f>IF(428&lt;=Calculadora!$C$9*12,428,"")</f>
        <v/>
      </c>
      <c r="B432" s="16">
        <f>IF(428&lt;=Calculadora!$C$9*12,Calculadora!$C$12,"")</f>
        <v/>
      </c>
      <c r="C432" s="16">
        <f>IF(428&lt;=Calculadora!$C$9*12,E431*Calculadora!$C$8/1200,"")</f>
        <v/>
      </c>
      <c r="D432" s="16">
        <f>IF(428&lt;=Calculadora!$C$9*12,B432-C432,"")</f>
        <v/>
      </c>
      <c r="E432" s="16">
        <f>IF(428&lt;=Calculadora!$C$9*12,E431-D432,"")</f>
        <v/>
      </c>
    </row>
    <row r="433">
      <c r="A433" s="15">
        <f>IF(429&lt;=Calculadora!$C$9*12,429,"")</f>
        <v/>
      </c>
      <c r="B433" s="16">
        <f>IF(429&lt;=Calculadora!$C$9*12,Calculadora!$C$12,"")</f>
        <v/>
      </c>
      <c r="C433" s="16">
        <f>IF(429&lt;=Calculadora!$C$9*12,E432*Calculadora!$C$8/1200,"")</f>
        <v/>
      </c>
      <c r="D433" s="16">
        <f>IF(429&lt;=Calculadora!$C$9*12,B433-C433,"")</f>
        <v/>
      </c>
      <c r="E433" s="16">
        <f>IF(429&lt;=Calculadora!$C$9*12,E432-D433,"")</f>
        <v/>
      </c>
    </row>
    <row r="434">
      <c r="A434" s="15">
        <f>IF(430&lt;=Calculadora!$C$9*12,430,"")</f>
        <v/>
      </c>
      <c r="B434" s="16">
        <f>IF(430&lt;=Calculadora!$C$9*12,Calculadora!$C$12,"")</f>
        <v/>
      </c>
      <c r="C434" s="16">
        <f>IF(430&lt;=Calculadora!$C$9*12,E433*Calculadora!$C$8/1200,"")</f>
        <v/>
      </c>
      <c r="D434" s="16">
        <f>IF(430&lt;=Calculadora!$C$9*12,B434-C434,"")</f>
        <v/>
      </c>
      <c r="E434" s="16">
        <f>IF(430&lt;=Calculadora!$C$9*12,E433-D434,"")</f>
        <v/>
      </c>
    </row>
    <row r="435">
      <c r="A435" s="15">
        <f>IF(431&lt;=Calculadora!$C$9*12,431,"")</f>
        <v/>
      </c>
      <c r="B435" s="16">
        <f>IF(431&lt;=Calculadora!$C$9*12,Calculadora!$C$12,"")</f>
        <v/>
      </c>
      <c r="C435" s="16">
        <f>IF(431&lt;=Calculadora!$C$9*12,E434*Calculadora!$C$8/1200,"")</f>
        <v/>
      </c>
      <c r="D435" s="16">
        <f>IF(431&lt;=Calculadora!$C$9*12,B435-C435,"")</f>
        <v/>
      </c>
      <c r="E435" s="16">
        <f>IF(431&lt;=Calculadora!$C$9*12,E434-D435,"")</f>
        <v/>
      </c>
    </row>
    <row r="436">
      <c r="A436" s="15">
        <f>IF(432&lt;=Calculadora!$C$9*12,432,"")</f>
        <v/>
      </c>
      <c r="B436" s="16">
        <f>IF(432&lt;=Calculadora!$C$9*12,Calculadora!$C$12,"")</f>
        <v/>
      </c>
      <c r="C436" s="16">
        <f>IF(432&lt;=Calculadora!$C$9*12,E435*Calculadora!$C$8/1200,"")</f>
        <v/>
      </c>
      <c r="D436" s="16">
        <f>IF(432&lt;=Calculadora!$C$9*12,B436-C436,"")</f>
        <v/>
      </c>
      <c r="E436" s="16">
        <f>IF(432&lt;=Calculadora!$C$9*12,E435-D436,"")</f>
        <v/>
      </c>
    </row>
    <row r="437">
      <c r="A437" s="15">
        <f>IF(433&lt;=Calculadora!$C$9*12,433,"")</f>
        <v/>
      </c>
      <c r="B437" s="16">
        <f>IF(433&lt;=Calculadora!$C$9*12,Calculadora!$C$12,"")</f>
        <v/>
      </c>
      <c r="C437" s="16">
        <f>IF(433&lt;=Calculadora!$C$9*12,E436*Calculadora!$C$8/1200,"")</f>
        <v/>
      </c>
      <c r="D437" s="16">
        <f>IF(433&lt;=Calculadora!$C$9*12,B437-C437,"")</f>
        <v/>
      </c>
      <c r="E437" s="16">
        <f>IF(433&lt;=Calculadora!$C$9*12,E436-D437,"")</f>
        <v/>
      </c>
    </row>
    <row r="438">
      <c r="A438" s="15">
        <f>IF(434&lt;=Calculadora!$C$9*12,434,"")</f>
        <v/>
      </c>
      <c r="B438" s="16">
        <f>IF(434&lt;=Calculadora!$C$9*12,Calculadora!$C$12,"")</f>
        <v/>
      </c>
      <c r="C438" s="16">
        <f>IF(434&lt;=Calculadora!$C$9*12,E437*Calculadora!$C$8/1200,"")</f>
        <v/>
      </c>
      <c r="D438" s="16">
        <f>IF(434&lt;=Calculadora!$C$9*12,B438-C438,"")</f>
        <v/>
      </c>
      <c r="E438" s="16">
        <f>IF(434&lt;=Calculadora!$C$9*12,E437-D438,"")</f>
        <v/>
      </c>
    </row>
    <row r="439">
      <c r="A439" s="15">
        <f>IF(435&lt;=Calculadora!$C$9*12,435,"")</f>
        <v/>
      </c>
      <c r="B439" s="16">
        <f>IF(435&lt;=Calculadora!$C$9*12,Calculadora!$C$12,"")</f>
        <v/>
      </c>
      <c r="C439" s="16">
        <f>IF(435&lt;=Calculadora!$C$9*12,E438*Calculadora!$C$8/1200,"")</f>
        <v/>
      </c>
      <c r="D439" s="16">
        <f>IF(435&lt;=Calculadora!$C$9*12,B439-C439,"")</f>
        <v/>
      </c>
      <c r="E439" s="16">
        <f>IF(435&lt;=Calculadora!$C$9*12,E438-D439,"")</f>
        <v/>
      </c>
    </row>
    <row r="440">
      <c r="A440" s="15">
        <f>IF(436&lt;=Calculadora!$C$9*12,436,"")</f>
        <v/>
      </c>
      <c r="B440" s="16">
        <f>IF(436&lt;=Calculadora!$C$9*12,Calculadora!$C$12,"")</f>
        <v/>
      </c>
      <c r="C440" s="16">
        <f>IF(436&lt;=Calculadora!$C$9*12,E439*Calculadora!$C$8/1200,"")</f>
        <v/>
      </c>
      <c r="D440" s="16">
        <f>IF(436&lt;=Calculadora!$C$9*12,B440-C440,"")</f>
        <v/>
      </c>
      <c r="E440" s="16">
        <f>IF(436&lt;=Calculadora!$C$9*12,E439-D440,"")</f>
        <v/>
      </c>
    </row>
    <row r="441">
      <c r="A441" s="15">
        <f>IF(437&lt;=Calculadora!$C$9*12,437,"")</f>
        <v/>
      </c>
      <c r="B441" s="16">
        <f>IF(437&lt;=Calculadora!$C$9*12,Calculadora!$C$12,"")</f>
        <v/>
      </c>
      <c r="C441" s="16">
        <f>IF(437&lt;=Calculadora!$C$9*12,E440*Calculadora!$C$8/1200,"")</f>
        <v/>
      </c>
      <c r="D441" s="16">
        <f>IF(437&lt;=Calculadora!$C$9*12,B441-C441,"")</f>
        <v/>
      </c>
      <c r="E441" s="16">
        <f>IF(437&lt;=Calculadora!$C$9*12,E440-D441,"")</f>
        <v/>
      </c>
    </row>
    <row r="442">
      <c r="A442" s="15">
        <f>IF(438&lt;=Calculadora!$C$9*12,438,"")</f>
        <v/>
      </c>
      <c r="B442" s="16">
        <f>IF(438&lt;=Calculadora!$C$9*12,Calculadora!$C$12,"")</f>
        <v/>
      </c>
      <c r="C442" s="16">
        <f>IF(438&lt;=Calculadora!$C$9*12,E441*Calculadora!$C$8/1200,"")</f>
        <v/>
      </c>
      <c r="D442" s="16">
        <f>IF(438&lt;=Calculadora!$C$9*12,B442-C442,"")</f>
        <v/>
      </c>
      <c r="E442" s="16">
        <f>IF(438&lt;=Calculadora!$C$9*12,E441-D442,"")</f>
        <v/>
      </c>
    </row>
    <row r="443">
      <c r="A443" s="15">
        <f>IF(439&lt;=Calculadora!$C$9*12,439,"")</f>
        <v/>
      </c>
      <c r="B443" s="16">
        <f>IF(439&lt;=Calculadora!$C$9*12,Calculadora!$C$12,"")</f>
        <v/>
      </c>
      <c r="C443" s="16">
        <f>IF(439&lt;=Calculadora!$C$9*12,E442*Calculadora!$C$8/1200,"")</f>
        <v/>
      </c>
      <c r="D443" s="16">
        <f>IF(439&lt;=Calculadora!$C$9*12,B443-C443,"")</f>
        <v/>
      </c>
      <c r="E443" s="16">
        <f>IF(439&lt;=Calculadora!$C$9*12,E442-D443,"")</f>
        <v/>
      </c>
    </row>
    <row r="444">
      <c r="A444" s="15">
        <f>IF(440&lt;=Calculadora!$C$9*12,440,"")</f>
        <v/>
      </c>
      <c r="B444" s="16">
        <f>IF(440&lt;=Calculadora!$C$9*12,Calculadora!$C$12,"")</f>
        <v/>
      </c>
      <c r="C444" s="16">
        <f>IF(440&lt;=Calculadora!$C$9*12,E443*Calculadora!$C$8/1200,"")</f>
        <v/>
      </c>
      <c r="D444" s="16">
        <f>IF(440&lt;=Calculadora!$C$9*12,B444-C444,"")</f>
        <v/>
      </c>
      <c r="E444" s="16">
        <f>IF(440&lt;=Calculadora!$C$9*12,E443-D444,"")</f>
        <v/>
      </c>
    </row>
    <row r="445">
      <c r="A445" s="15">
        <f>IF(441&lt;=Calculadora!$C$9*12,441,"")</f>
        <v/>
      </c>
      <c r="B445" s="16">
        <f>IF(441&lt;=Calculadora!$C$9*12,Calculadora!$C$12,"")</f>
        <v/>
      </c>
      <c r="C445" s="16">
        <f>IF(441&lt;=Calculadora!$C$9*12,E444*Calculadora!$C$8/1200,"")</f>
        <v/>
      </c>
      <c r="D445" s="16">
        <f>IF(441&lt;=Calculadora!$C$9*12,B445-C445,"")</f>
        <v/>
      </c>
      <c r="E445" s="16">
        <f>IF(441&lt;=Calculadora!$C$9*12,E444-D445,"")</f>
        <v/>
      </c>
    </row>
    <row r="446">
      <c r="A446" s="15">
        <f>IF(442&lt;=Calculadora!$C$9*12,442,"")</f>
        <v/>
      </c>
      <c r="B446" s="16">
        <f>IF(442&lt;=Calculadora!$C$9*12,Calculadora!$C$12,"")</f>
        <v/>
      </c>
      <c r="C446" s="16">
        <f>IF(442&lt;=Calculadora!$C$9*12,E445*Calculadora!$C$8/1200,"")</f>
        <v/>
      </c>
      <c r="D446" s="16">
        <f>IF(442&lt;=Calculadora!$C$9*12,B446-C446,"")</f>
        <v/>
      </c>
      <c r="E446" s="16">
        <f>IF(442&lt;=Calculadora!$C$9*12,E445-D446,"")</f>
        <v/>
      </c>
    </row>
    <row r="447">
      <c r="A447" s="15">
        <f>IF(443&lt;=Calculadora!$C$9*12,443,"")</f>
        <v/>
      </c>
      <c r="B447" s="16">
        <f>IF(443&lt;=Calculadora!$C$9*12,Calculadora!$C$12,"")</f>
        <v/>
      </c>
      <c r="C447" s="16">
        <f>IF(443&lt;=Calculadora!$C$9*12,E446*Calculadora!$C$8/1200,"")</f>
        <v/>
      </c>
      <c r="D447" s="16">
        <f>IF(443&lt;=Calculadora!$C$9*12,B447-C447,"")</f>
        <v/>
      </c>
      <c r="E447" s="16">
        <f>IF(443&lt;=Calculadora!$C$9*12,E446-D447,"")</f>
        <v/>
      </c>
    </row>
    <row r="448">
      <c r="A448" s="15">
        <f>IF(444&lt;=Calculadora!$C$9*12,444,"")</f>
        <v/>
      </c>
      <c r="B448" s="16">
        <f>IF(444&lt;=Calculadora!$C$9*12,Calculadora!$C$12,"")</f>
        <v/>
      </c>
      <c r="C448" s="16">
        <f>IF(444&lt;=Calculadora!$C$9*12,E447*Calculadora!$C$8/1200,"")</f>
        <v/>
      </c>
      <c r="D448" s="16">
        <f>IF(444&lt;=Calculadora!$C$9*12,B448-C448,"")</f>
        <v/>
      </c>
      <c r="E448" s="16">
        <f>IF(444&lt;=Calculadora!$C$9*12,E447-D448,"")</f>
        <v/>
      </c>
    </row>
    <row r="449">
      <c r="A449" s="15">
        <f>IF(445&lt;=Calculadora!$C$9*12,445,"")</f>
        <v/>
      </c>
      <c r="B449" s="16">
        <f>IF(445&lt;=Calculadora!$C$9*12,Calculadora!$C$12,"")</f>
        <v/>
      </c>
      <c r="C449" s="16">
        <f>IF(445&lt;=Calculadora!$C$9*12,E448*Calculadora!$C$8/1200,"")</f>
        <v/>
      </c>
      <c r="D449" s="16">
        <f>IF(445&lt;=Calculadora!$C$9*12,B449-C449,"")</f>
        <v/>
      </c>
      <c r="E449" s="16">
        <f>IF(445&lt;=Calculadora!$C$9*12,E448-D449,"")</f>
        <v/>
      </c>
    </row>
    <row r="450">
      <c r="A450" s="15">
        <f>IF(446&lt;=Calculadora!$C$9*12,446,"")</f>
        <v/>
      </c>
      <c r="B450" s="16">
        <f>IF(446&lt;=Calculadora!$C$9*12,Calculadora!$C$12,"")</f>
        <v/>
      </c>
      <c r="C450" s="16">
        <f>IF(446&lt;=Calculadora!$C$9*12,E449*Calculadora!$C$8/1200,"")</f>
        <v/>
      </c>
      <c r="D450" s="16">
        <f>IF(446&lt;=Calculadora!$C$9*12,B450-C450,"")</f>
        <v/>
      </c>
      <c r="E450" s="16">
        <f>IF(446&lt;=Calculadora!$C$9*12,E449-D450,"")</f>
        <v/>
      </c>
    </row>
    <row r="451">
      <c r="A451" s="15">
        <f>IF(447&lt;=Calculadora!$C$9*12,447,"")</f>
        <v/>
      </c>
      <c r="B451" s="16">
        <f>IF(447&lt;=Calculadora!$C$9*12,Calculadora!$C$12,"")</f>
        <v/>
      </c>
      <c r="C451" s="16">
        <f>IF(447&lt;=Calculadora!$C$9*12,E450*Calculadora!$C$8/1200,"")</f>
        <v/>
      </c>
      <c r="D451" s="16">
        <f>IF(447&lt;=Calculadora!$C$9*12,B451-C451,"")</f>
        <v/>
      </c>
      <c r="E451" s="16">
        <f>IF(447&lt;=Calculadora!$C$9*12,E450-D451,"")</f>
        <v/>
      </c>
    </row>
    <row r="452">
      <c r="A452" s="15">
        <f>IF(448&lt;=Calculadora!$C$9*12,448,"")</f>
        <v/>
      </c>
      <c r="B452" s="16">
        <f>IF(448&lt;=Calculadora!$C$9*12,Calculadora!$C$12,"")</f>
        <v/>
      </c>
      <c r="C452" s="16">
        <f>IF(448&lt;=Calculadora!$C$9*12,E451*Calculadora!$C$8/1200,"")</f>
        <v/>
      </c>
      <c r="D452" s="16">
        <f>IF(448&lt;=Calculadora!$C$9*12,B452-C452,"")</f>
        <v/>
      </c>
      <c r="E452" s="16">
        <f>IF(448&lt;=Calculadora!$C$9*12,E451-D452,"")</f>
        <v/>
      </c>
    </row>
    <row r="453">
      <c r="A453" s="15">
        <f>IF(449&lt;=Calculadora!$C$9*12,449,"")</f>
        <v/>
      </c>
      <c r="B453" s="16">
        <f>IF(449&lt;=Calculadora!$C$9*12,Calculadora!$C$12,"")</f>
        <v/>
      </c>
      <c r="C453" s="16">
        <f>IF(449&lt;=Calculadora!$C$9*12,E452*Calculadora!$C$8/1200,"")</f>
        <v/>
      </c>
      <c r="D453" s="16">
        <f>IF(449&lt;=Calculadora!$C$9*12,B453-C453,"")</f>
        <v/>
      </c>
      <c r="E453" s="16">
        <f>IF(449&lt;=Calculadora!$C$9*12,E452-D453,"")</f>
        <v/>
      </c>
    </row>
    <row r="454">
      <c r="A454" s="15">
        <f>IF(450&lt;=Calculadora!$C$9*12,450,"")</f>
        <v/>
      </c>
      <c r="B454" s="16">
        <f>IF(450&lt;=Calculadora!$C$9*12,Calculadora!$C$12,"")</f>
        <v/>
      </c>
      <c r="C454" s="16">
        <f>IF(450&lt;=Calculadora!$C$9*12,E453*Calculadora!$C$8/1200,"")</f>
        <v/>
      </c>
      <c r="D454" s="16">
        <f>IF(450&lt;=Calculadora!$C$9*12,B454-C454,"")</f>
        <v/>
      </c>
      <c r="E454" s="16">
        <f>IF(450&lt;=Calculadora!$C$9*12,E453-D454,"")</f>
        <v/>
      </c>
    </row>
    <row r="455">
      <c r="A455" s="15">
        <f>IF(451&lt;=Calculadora!$C$9*12,451,"")</f>
        <v/>
      </c>
      <c r="B455" s="16">
        <f>IF(451&lt;=Calculadora!$C$9*12,Calculadora!$C$12,"")</f>
        <v/>
      </c>
      <c r="C455" s="16">
        <f>IF(451&lt;=Calculadora!$C$9*12,E454*Calculadora!$C$8/1200,"")</f>
        <v/>
      </c>
      <c r="D455" s="16">
        <f>IF(451&lt;=Calculadora!$C$9*12,B455-C455,"")</f>
        <v/>
      </c>
      <c r="E455" s="16">
        <f>IF(451&lt;=Calculadora!$C$9*12,E454-D455,"")</f>
        <v/>
      </c>
    </row>
    <row r="456">
      <c r="A456" s="15">
        <f>IF(452&lt;=Calculadora!$C$9*12,452,"")</f>
        <v/>
      </c>
      <c r="B456" s="16">
        <f>IF(452&lt;=Calculadora!$C$9*12,Calculadora!$C$12,"")</f>
        <v/>
      </c>
      <c r="C456" s="16">
        <f>IF(452&lt;=Calculadora!$C$9*12,E455*Calculadora!$C$8/1200,"")</f>
        <v/>
      </c>
      <c r="D456" s="16">
        <f>IF(452&lt;=Calculadora!$C$9*12,B456-C456,"")</f>
        <v/>
      </c>
      <c r="E456" s="16">
        <f>IF(452&lt;=Calculadora!$C$9*12,E455-D456,"")</f>
        <v/>
      </c>
    </row>
    <row r="457">
      <c r="A457" s="15">
        <f>IF(453&lt;=Calculadora!$C$9*12,453,"")</f>
        <v/>
      </c>
      <c r="B457" s="16">
        <f>IF(453&lt;=Calculadora!$C$9*12,Calculadora!$C$12,"")</f>
        <v/>
      </c>
      <c r="C457" s="16">
        <f>IF(453&lt;=Calculadora!$C$9*12,E456*Calculadora!$C$8/1200,"")</f>
        <v/>
      </c>
      <c r="D457" s="16">
        <f>IF(453&lt;=Calculadora!$C$9*12,B457-C457,"")</f>
        <v/>
      </c>
      <c r="E457" s="16">
        <f>IF(453&lt;=Calculadora!$C$9*12,E456-D457,"")</f>
        <v/>
      </c>
    </row>
    <row r="458">
      <c r="A458" s="15">
        <f>IF(454&lt;=Calculadora!$C$9*12,454,"")</f>
        <v/>
      </c>
      <c r="B458" s="16">
        <f>IF(454&lt;=Calculadora!$C$9*12,Calculadora!$C$12,"")</f>
        <v/>
      </c>
      <c r="C458" s="16">
        <f>IF(454&lt;=Calculadora!$C$9*12,E457*Calculadora!$C$8/1200,"")</f>
        <v/>
      </c>
      <c r="D458" s="16">
        <f>IF(454&lt;=Calculadora!$C$9*12,B458-C458,"")</f>
        <v/>
      </c>
      <c r="E458" s="16">
        <f>IF(454&lt;=Calculadora!$C$9*12,E457-D458,"")</f>
        <v/>
      </c>
    </row>
    <row r="459">
      <c r="A459" s="15">
        <f>IF(455&lt;=Calculadora!$C$9*12,455,"")</f>
        <v/>
      </c>
      <c r="B459" s="16">
        <f>IF(455&lt;=Calculadora!$C$9*12,Calculadora!$C$12,"")</f>
        <v/>
      </c>
      <c r="C459" s="16">
        <f>IF(455&lt;=Calculadora!$C$9*12,E458*Calculadora!$C$8/1200,"")</f>
        <v/>
      </c>
      <c r="D459" s="16">
        <f>IF(455&lt;=Calculadora!$C$9*12,B459-C459,"")</f>
        <v/>
      </c>
      <c r="E459" s="16">
        <f>IF(455&lt;=Calculadora!$C$9*12,E458-D459,"")</f>
        <v/>
      </c>
    </row>
    <row r="460">
      <c r="A460" s="15">
        <f>IF(456&lt;=Calculadora!$C$9*12,456,"")</f>
        <v/>
      </c>
      <c r="B460" s="16">
        <f>IF(456&lt;=Calculadora!$C$9*12,Calculadora!$C$12,"")</f>
        <v/>
      </c>
      <c r="C460" s="16">
        <f>IF(456&lt;=Calculadora!$C$9*12,E459*Calculadora!$C$8/1200,"")</f>
        <v/>
      </c>
      <c r="D460" s="16">
        <f>IF(456&lt;=Calculadora!$C$9*12,B460-C460,"")</f>
        <v/>
      </c>
      <c r="E460" s="16">
        <f>IF(456&lt;=Calculadora!$C$9*12,E459-D460,"")</f>
        <v/>
      </c>
    </row>
    <row r="461">
      <c r="A461" s="15">
        <f>IF(457&lt;=Calculadora!$C$9*12,457,"")</f>
        <v/>
      </c>
      <c r="B461" s="16">
        <f>IF(457&lt;=Calculadora!$C$9*12,Calculadora!$C$12,"")</f>
        <v/>
      </c>
      <c r="C461" s="16">
        <f>IF(457&lt;=Calculadora!$C$9*12,E460*Calculadora!$C$8/1200,"")</f>
        <v/>
      </c>
      <c r="D461" s="16">
        <f>IF(457&lt;=Calculadora!$C$9*12,B461-C461,"")</f>
        <v/>
      </c>
      <c r="E461" s="16">
        <f>IF(457&lt;=Calculadora!$C$9*12,E460-D461,"")</f>
        <v/>
      </c>
    </row>
    <row r="462">
      <c r="A462" s="15">
        <f>IF(458&lt;=Calculadora!$C$9*12,458,"")</f>
        <v/>
      </c>
      <c r="B462" s="16">
        <f>IF(458&lt;=Calculadora!$C$9*12,Calculadora!$C$12,"")</f>
        <v/>
      </c>
      <c r="C462" s="16">
        <f>IF(458&lt;=Calculadora!$C$9*12,E461*Calculadora!$C$8/1200,"")</f>
        <v/>
      </c>
      <c r="D462" s="16">
        <f>IF(458&lt;=Calculadora!$C$9*12,B462-C462,"")</f>
        <v/>
      </c>
      <c r="E462" s="16">
        <f>IF(458&lt;=Calculadora!$C$9*12,E461-D462,"")</f>
        <v/>
      </c>
    </row>
    <row r="463">
      <c r="A463" s="15">
        <f>IF(459&lt;=Calculadora!$C$9*12,459,"")</f>
        <v/>
      </c>
      <c r="B463" s="16">
        <f>IF(459&lt;=Calculadora!$C$9*12,Calculadora!$C$12,"")</f>
        <v/>
      </c>
      <c r="C463" s="16">
        <f>IF(459&lt;=Calculadora!$C$9*12,E462*Calculadora!$C$8/1200,"")</f>
        <v/>
      </c>
      <c r="D463" s="16">
        <f>IF(459&lt;=Calculadora!$C$9*12,B463-C463,"")</f>
        <v/>
      </c>
      <c r="E463" s="16">
        <f>IF(459&lt;=Calculadora!$C$9*12,E462-D463,"")</f>
        <v/>
      </c>
    </row>
    <row r="464">
      <c r="A464" s="15">
        <f>IF(460&lt;=Calculadora!$C$9*12,460,"")</f>
        <v/>
      </c>
      <c r="B464" s="16">
        <f>IF(460&lt;=Calculadora!$C$9*12,Calculadora!$C$12,"")</f>
        <v/>
      </c>
      <c r="C464" s="16">
        <f>IF(460&lt;=Calculadora!$C$9*12,E463*Calculadora!$C$8/1200,"")</f>
        <v/>
      </c>
      <c r="D464" s="16">
        <f>IF(460&lt;=Calculadora!$C$9*12,B464-C464,"")</f>
        <v/>
      </c>
      <c r="E464" s="16">
        <f>IF(460&lt;=Calculadora!$C$9*12,E463-D464,"")</f>
        <v/>
      </c>
    </row>
    <row r="465">
      <c r="A465" s="15">
        <f>IF(461&lt;=Calculadora!$C$9*12,461,"")</f>
        <v/>
      </c>
      <c r="B465" s="16">
        <f>IF(461&lt;=Calculadora!$C$9*12,Calculadora!$C$12,"")</f>
        <v/>
      </c>
      <c r="C465" s="16">
        <f>IF(461&lt;=Calculadora!$C$9*12,E464*Calculadora!$C$8/1200,"")</f>
        <v/>
      </c>
      <c r="D465" s="16">
        <f>IF(461&lt;=Calculadora!$C$9*12,B465-C465,"")</f>
        <v/>
      </c>
      <c r="E465" s="16">
        <f>IF(461&lt;=Calculadora!$C$9*12,E464-D465,"")</f>
        <v/>
      </c>
    </row>
    <row r="466">
      <c r="A466" s="15">
        <f>IF(462&lt;=Calculadora!$C$9*12,462,"")</f>
        <v/>
      </c>
      <c r="B466" s="16">
        <f>IF(462&lt;=Calculadora!$C$9*12,Calculadora!$C$12,"")</f>
        <v/>
      </c>
      <c r="C466" s="16">
        <f>IF(462&lt;=Calculadora!$C$9*12,E465*Calculadora!$C$8/1200,"")</f>
        <v/>
      </c>
      <c r="D466" s="16">
        <f>IF(462&lt;=Calculadora!$C$9*12,B466-C466,"")</f>
        <v/>
      </c>
      <c r="E466" s="16">
        <f>IF(462&lt;=Calculadora!$C$9*12,E465-D466,"")</f>
        <v/>
      </c>
    </row>
    <row r="467">
      <c r="A467" s="15">
        <f>IF(463&lt;=Calculadora!$C$9*12,463,"")</f>
        <v/>
      </c>
      <c r="B467" s="16">
        <f>IF(463&lt;=Calculadora!$C$9*12,Calculadora!$C$12,"")</f>
        <v/>
      </c>
      <c r="C467" s="16">
        <f>IF(463&lt;=Calculadora!$C$9*12,E466*Calculadora!$C$8/1200,"")</f>
        <v/>
      </c>
      <c r="D467" s="16">
        <f>IF(463&lt;=Calculadora!$C$9*12,B467-C467,"")</f>
        <v/>
      </c>
      <c r="E467" s="16">
        <f>IF(463&lt;=Calculadora!$C$9*12,E466-D467,"")</f>
        <v/>
      </c>
    </row>
    <row r="468">
      <c r="A468" s="15">
        <f>IF(464&lt;=Calculadora!$C$9*12,464,"")</f>
        <v/>
      </c>
      <c r="B468" s="16">
        <f>IF(464&lt;=Calculadora!$C$9*12,Calculadora!$C$12,"")</f>
        <v/>
      </c>
      <c r="C468" s="16">
        <f>IF(464&lt;=Calculadora!$C$9*12,E467*Calculadora!$C$8/1200,"")</f>
        <v/>
      </c>
      <c r="D468" s="16">
        <f>IF(464&lt;=Calculadora!$C$9*12,B468-C468,"")</f>
        <v/>
      </c>
      <c r="E468" s="16">
        <f>IF(464&lt;=Calculadora!$C$9*12,E467-D468,"")</f>
        <v/>
      </c>
    </row>
    <row r="469">
      <c r="A469" s="15">
        <f>IF(465&lt;=Calculadora!$C$9*12,465,"")</f>
        <v/>
      </c>
      <c r="B469" s="16">
        <f>IF(465&lt;=Calculadora!$C$9*12,Calculadora!$C$12,"")</f>
        <v/>
      </c>
      <c r="C469" s="16">
        <f>IF(465&lt;=Calculadora!$C$9*12,E468*Calculadora!$C$8/1200,"")</f>
        <v/>
      </c>
      <c r="D469" s="16">
        <f>IF(465&lt;=Calculadora!$C$9*12,B469-C469,"")</f>
        <v/>
      </c>
      <c r="E469" s="16">
        <f>IF(465&lt;=Calculadora!$C$9*12,E468-D469,"")</f>
        <v/>
      </c>
    </row>
    <row r="470">
      <c r="A470" s="15">
        <f>IF(466&lt;=Calculadora!$C$9*12,466,"")</f>
        <v/>
      </c>
      <c r="B470" s="16">
        <f>IF(466&lt;=Calculadora!$C$9*12,Calculadora!$C$12,"")</f>
        <v/>
      </c>
      <c r="C470" s="16">
        <f>IF(466&lt;=Calculadora!$C$9*12,E469*Calculadora!$C$8/1200,"")</f>
        <v/>
      </c>
      <c r="D470" s="16">
        <f>IF(466&lt;=Calculadora!$C$9*12,B470-C470,"")</f>
        <v/>
      </c>
      <c r="E470" s="16">
        <f>IF(466&lt;=Calculadora!$C$9*12,E469-D470,"")</f>
        <v/>
      </c>
    </row>
    <row r="471">
      <c r="A471" s="15">
        <f>IF(467&lt;=Calculadora!$C$9*12,467,"")</f>
        <v/>
      </c>
      <c r="B471" s="16">
        <f>IF(467&lt;=Calculadora!$C$9*12,Calculadora!$C$12,"")</f>
        <v/>
      </c>
      <c r="C471" s="16">
        <f>IF(467&lt;=Calculadora!$C$9*12,E470*Calculadora!$C$8/1200,"")</f>
        <v/>
      </c>
      <c r="D471" s="16">
        <f>IF(467&lt;=Calculadora!$C$9*12,B471-C471,"")</f>
        <v/>
      </c>
      <c r="E471" s="16">
        <f>IF(467&lt;=Calculadora!$C$9*12,E470-D471,"")</f>
        <v/>
      </c>
    </row>
    <row r="472">
      <c r="A472" s="15">
        <f>IF(468&lt;=Calculadora!$C$9*12,468,"")</f>
        <v/>
      </c>
      <c r="B472" s="16">
        <f>IF(468&lt;=Calculadora!$C$9*12,Calculadora!$C$12,"")</f>
        <v/>
      </c>
      <c r="C472" s="16">
        <f>IF(468&lt;=Calculadora!$C$9*12,E471*Calculadora!$C$8/1200,"")</f>
        <v/>
      </c>
      <c r="D472" s="16">
        <f>IF(468&lt;=Calculadora!$C$9*12,B472-C472,"")</f>
        <v/>
      </c>
      <c r="E472" s="16">
        <f>IF(468&lt;=Calculadora!$C$9*12,E471-D472,"")</f>
        <v/>
      </c>
    </row>
    <row r="473">
      <c r="A473" s="15">
        <f>IF(469&lt;=Calculadora!$C$9*12,469,"")</f>
        <v/>
      </c>
      <c r="B473" s="16">
        <f>IF(469&lt;=Calculadora!$C$9*12,Calculadora!$C$12,"")</f>
        <v/>
      </c>
      <c r="C473" s="16">
        <f>IF(469&lt;=Calculadora!$C$9*12,E472*Calculadora!$C$8/1200,"")</f>
        <v/>
      </c>
      <c r="D473" s="16">
        <f>IF(469&lt;=Calculadora!$C$9*12,B473-C473,"")</f>
        <v/>
      </c>
      <c r="E473" s="16">
        <f>IF(469&lt;=Calculadora!$C$9*12,E472-D473,"")</f>
        <v/>
      </c>
    </row>
    <row r="474">
      <c r="A474" s="15">
        <f>IF(470&lt;=Calculadora!$C$9*12,470,"")</f>
        <v/>
      </c>
      <c r="B474" s="16">
        <f>IF(470&lt;=Calculadora!$C$9*12,Calculadora!$C$12,"")</f>
        <v/>
      </c>
      <c r="C474" s="16">
        <f>IF(470&lt;=Calculadora!$C$9*12,E473*Calculadora!$C$8/1200,"")</f>
        <v/>
      </c>
      <c r="D474" s="16">
        <f>IF(470&lt;=Calculadora!$C$9*12,B474-C474,"")</f>
        <v/>
      </c>
      <c r="E474" s="16">
        <f>IF(470&lt;=Calculadora!$C$9*12,E473-D474,"")</f>
        <v/>
      </c>
    </row>
    <row r="475">
      <c r="A475" s="15">
        <f>IF(471&lt;=Calculadora!$C$9*12,471,"")</f>
        <v/>
      </c>
      <c r="B475" s="16">
        <f>IF(471&lt;=Calculadora!$C$9*12,Calculadora!$C$12,"")</f>
        <v/>
      </c>
      <c r="C475" s="16">
        <f>IF(471&lt;=Calculadora!$C$9*12,E474*Calculadora!$C$8/1200,"")</f>
        <v/>
      </c>
      <c r="D475" s="16">
        <f>IF(471&lt;=Calculadora!$C$9*12,B475-C475,"")</f>
        <v/>
      </c>
      <c r="E475" s="16">
        <f>IF(471&lt;=Calculadora!$C$9*12,E474-D475,"")</f>
        <v/>
      </c>
    </row>
    <row r="476">
      <c r="A476" s="15">
        <f>IF(472&lt;=Calculadora!$C$9*12,472,"")</f>
        <v/>
      </c>
      <c r="B476" s="16">
        <f>IF(472&lt;=Calculadora!$C$9*12,Calculadora!$C$12,"")</f>
        <v/>
      </c>
      <c r="C476" s="16">
        <f>IF(472&lt;=Calculadora!$C$9*12,E475*Calculadora!$C$8/1200,"")</f>
        <v/>
      </c>
      <c r="D476" s="16">
        <f>IF(472&lt;=Calculadora!$C$9*12,B476-C476,"")</f>
        <v/>
      </c>
      <c r="E476" s="16">
        <f>IF(472&lt;=Calculadora!$C$9*12,E475-D476,"")</f>
        <v/>
      </c>
    </row>
    <row r="477">
      <c r="A477" s="15">
        <f>IF(473&lt;=Calculadora!$C$9*12,473,"")</f>
        <v/>
      </c>
      <c r="B477" s="16">
        <f>IF(473&lt;=Calculadora!$C$9*12,Calculadora!$C$12,"")</f>
        <v/>
      </c>
      <c r="C477" s="16">
        <f>IF(473&lt;=Calculadora!$C$9*12,E476*Calculadora!$C$8/1200,"")</f>
        <v/>
      </c>
      <c r="D477" s="16">
        <f>IF(473&lt;=Calculadora!$C$9*12,B477-C477,"")</f>
        <v/>
      </c>
      <c r="E477" s="16">
        <f>IF(473&lt;=Calculadora!$C$9*12,E476-D477,"")</f>
        <v/>
      </c>
    </row>
    <row r="478">
      <c r="A478" s="15">
        <f>IF(474&lt;=Calculadora!$C$9*12,474,"")</f>
        <v/>
      </c>
      <c r="B478" s="16">
        <f>IF(474&lt;=Calculadora!$C$9*12,Calculadora!$C$12,"")</f>
        <v/>
      </c>
      <c r="C478" s="16">
        <f>IF(474&lt;=Calculadora!$C$9*12,E477*Calculadora!$C$8/1200,"")</f>
        <v/>
      </c>
      <c r="D478" s="16">
        <f>IF(474&lt;=Calculadora!$C$9*12,B478-C478,"")</f>
        <v/>
      </c>
      <c r="E478" s="16">
        <f>IF(474&lt;=Calculadora!$C$9*12,E477-D478,"")</f>
        <v/>
      </c>
    </row>
    <row r="479">
      <c r="A479" s="15">
        <f>IF(475&lt;=Calculadora!$C$9*12,475,"")</f>
        <v/>
      </c>
      <c r="B479" s="16">
        <f>IF(475&lt;=Calculadora!$C$9*12,Calculadora!$C$12,"")</f>
        <v/>
      </c>
      <c r="C479" s="16">
        <f>IF(475&lt;=Calculadora!$C$9*12,E478*Calculadora!$C$8/1200,"")</f>
        <v/>
      </c>
      <c r="D479" s="16">
        <f>IF(475&lt;=Calculadora!$C$9*12,B479-C479,"")</f>
        <v/>
      </c>
      <c r="E479" s="16">
        <f>IF(475&lt;=Calculadora!$C$9*12,E478-D479,"")</f>
        <v/>
      </c>
    </row>
    <row r="480">
      <c r="A480" s="15">
        <f>IF(476&lt;=Calculadora!$C$9*12,476,"")</f>
        <v/>
      </c>
      <c r="B480" s="16">
        <f>IF(476&lt;=Calculadora!$C$9*12,Calculadora!$C$12,"")</f>
        <v/>
      </c>
      <c r="C480" s="16">
        <f>IF(476&lt;=Calculadora!$C$9*12,E479*Calculadora!$C$8/1200,"")</f>
        <v/>
      </c>
      <c r="D480" s="16">
        <f>IF(476&lt;=Calculadora!$C$9*12,B480-C480,"")</f>
        <v/>
      </c>
      <c r="E480" s="16">
        <f>IF(476&lt;=Calculadora!$C$9*12,E479-D480,"")</f>
        <v/>
      </c>
    </row>
    <row r="481">
      <c r="A481" s="15">
        <f>IF(477&lt;=Calculadora!$C$9*12,477,"")</f>
        <v/>
      </c>
      <c r="B481" s="16">
        <f>IF(477&lt;=Calculadora!$C$9*12,Calculadora!$C$12,"")</f>
        <v/>
      </c>
      <c r="C481" s="16">
        <f>IF(477&lt;=Calculadora!$C$9*12,E480*Calculadora!$C$8/1200,"")</f>
        <v/>
      </c>
      <c r="D481" s="16">
        <f>IF(477&lt;=Calculadora!$C$9*12,B481-C481,"")</f>
        <v/>
      </c>
      <c r="E481" s="16">
        <f>IF(477&lt;=Calculadora!$C$9*12,E480-D481,"")</f>
        <v/>
      </c>
    </row>
    <row r="482">
      <c r="A482" s="15">
        <f>IF(478&lt;=Calculadora!$C$9*12,478,"")</f>
        <v/>
      </c>
      <c r="B482" s="16">
        <f>IF(478&lt;=Calculadora!$C$9*12,Calculadora!$C$12,"")</f>
        <v/>
      </c>
      <c r="C482" s="16">
        <f>IF(478&lt;=Calculadora!$C$9*12,E481*Calculadora!$C$8/1200,"")</f>
        <v/>
      </c>
      <c r="D482" s="16">
        <f>IF(478&lt;=Calculadora!$C$9*12,B482-C482,"")</f>
        <v/>
      </c>
      <c r="E482" s="16">
        <f>IF(478&lt;=Calculadora!$C$9*12,E481-D482,"")</f>
        <v/>
      </c>
    </row>
    <row r="483">
      <c r="A483" s="15">
        <f>IF(479&lt;=Calculadora!$C$9*12,479,"")</f>
        <v/>
      </c>
      <c r="B483" s="16">
        <f>IF(479&lt;=Calculadora!$C$9*12,Calculadora!$C$12,"")</f>
        <v/>
      </c>
      <c r="C483" s="16">
        <f>IF(479&lt;=Calculadora!$C$9*12,E482*Calculadora!$C$8/1200,"")</f>
        <v/>
      </c>
      <c r="D483" s="16">
        <f>IF(479&lt;=Calculadora!$C$9*12,B483-C483,"")</f>
        <v/>
      </c>
      <c r="E483" s="16">
        <f>IF(479&lt;=Calculadora!$C$9*12,E482-D483,"")</f>
        <v/>
      </c>
    </row>
    <row r="484">
      <c r="A484" s="15">
        <f>IF(480&lt;=Calculadora!$C$9*12,480,"")</f>
        <v/>
      </c>
      <c r="B484" s="16">
        <f>IF(480&lt;=Calculadora!$C$9*12,Calculadora!$C$12,"")</f>
        <v/>
      </c>
      <c r="C484" s="16">
        <f>IF(480&lt;=Calculadora!$C$9*12,E483*Calculadora!$C$8/1200,"")</f>
        <v/>
      </c>
      <c r="D484" s="16">
        <f>IF(480&lt;=Calculadora!$C$9*12,B484-C484,"")</f>
        <v/>
      </c>
      <c r="E484" s="16">
        <f>IF(480&lt;=Calculadora!$C$9*12,E483-D484,"")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2026-08-22T16:27:21Z</dcterms:created>
  <dcterms:modified xsi:type="dcterms:W3CDTF">2026-08-22T16:27:21Z</dcterms:modified>
</cp:coreProperties>
</file>